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40" yWindow="15" windowWidth="11340" windowHeight="9690" firstSheet="3" activeTab="8"/>
  </bookViews>
  <sheets>
    <sheet name="WRPF-PRO Тяга б_э" sheetId="1" r:id="rId1"/>
    <sheet name="WRPF-PRO ПЛ б_э" sheetId="2" r:id="rId2"/>
    <sheet name="WRPF-PRO Жим б_э" sheetId="3" r:id="rId3"/>
    <sheet name="WRPF Тяга б_э д_к" sheetId="4" r:id="rId4"/>
    <sheet name="WRPF Тяга б_э" sheetId="5" r:id="rId5"/>
    <sheet name="WRPF Жим б_э д_к" sheetId="6" r:id="rId6"/>
    <sheet name="WRPF Жим б_э" sheetId="7" r:id="rId7"/>
    <sheet name="WRPF ПЛ б_э д_к" sheetId="8" r:id="rId8"/>
    <sheet name="WRPF ПЛ б_э" sheetId="9" r:id="rId9"/>
  </sheets>
  <externalReferences>
    <externalReference r:id="rId12"/>
  </externalReferences>
  <definedNames/>
  <calcPr fullCalcOnLoad="1" refMode="R1C1"/>
</workbook>
</file>

<file path=xl/sharedStrings.xml><?xml version="1.0" encoding="utf-8"?>
<sst xmlns="http://schemas.openxmlformats.org/spreadsheetml/2006/main" count="3700" uniqueCount="1299">
  <si>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</si>
  <si>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</si>
  <si>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</si>
  <si>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</si>
  <si>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</si>
  <si>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</si>
  <si>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</si>
  <si>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</si>
  <si>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</si>
  <si>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</si>
  <si>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</si>
  <si>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</si>
  <si>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Wilks</t>
  </si>
  <si>
    <t>ВЕСОВАЯ КАТЕГОРИЯ   90+</t>
  </si>
  <si>
    <t>Уколова Вероника</t>
  </si>
  <si>
    <t>Уколова Вероника (+2)</t>
  </si>
  <si>
    <t>Open (17.06.1997)/17</t>
  </si>
  <si>
    <t>107,80</t>
  </si>
  <si>
    <t xml:space="preserve">Москва </t>
  </si>
  <si>
    <t xml:space="preserve">Москва/ </t>
  </si>
  <si>
    <t>150,0</t>
  </si>
  <si>
    <t>165,0</t>
  </si>
  <si>
    <t>175,0</t>
  </si>
  <si>
    <t>72,5</t>
  </si>
  <si>
    <t>75,0</t>
  </si>
  <si>
    <t>77,5</t>
  </si>
  <si>
    <t>135,0</t>
  </si>
  <si>
    <t>140,0</t>
  </si>
  <si>
    <t>382.50</t>
  </si>
  <si>
    <t xml:space="preserve">лично </t>
  </si>
  <si>
    <t>ВЕСОВАЯ КАТЕГОРИЯ   75</t>
  </si>
  <si>
    <t>Херсонский Максим</t>
  </si>
  <si>
    <t>Херсонский Максим (+1)</t>
  </si>
  <si>
    <t>Sub Junior II (08.07.1996)/18</t>
  </si>
  <si>
    <t>74,20</t>
  </si>
  <si>
    <t>170,0</t>
  </si>
  <si>
    <t>180,0</t>
  </si>
  <si>
    <t>190,0</t>
  </si>
  <si>
    <t>120,0</t>
  </si>
  <si>
    <t>125,0</t>
  </si>
  <si>
    <t>200,0</t>
  </si>
  <si>
    <t>210,0</t>
  </si>
  <si>
    <t>215,0</t>
  </si>
  <si>
    <t>505.00</t>
  </si>
  <si>
    <t xml:space="preserve">Мудрогелов Р.А. </t>
  </si>
  <si>
    <t>ВЕСОВАЯ КАТЕГОРИЯ   82.5</t>
  </si>
  <si>
    <t>Уметбаев Роберт</t>
  </si>
  <si>
    <t>Уметбаев Роберт (+КМС)</t>
  </si>
  <si>
    <t>Open (06.03.1989)/26</t>
  </si>
  <si>
    <t>82,10</t>
  </si>
  <si>
    <t>217,5</t>
  </si>
  <si>
    <t>142,5</t>
  </si>
  <si>
    <t>220,0</t>
  </si>
  <si>
    <t>572.50</t>
  </si>
  <si>
    <t xml:space="preserve"> </t>
  </si>
  <si>
    <t>Семенихин Иван</t>
  </si>
  <si>
    <t>Семенихин Иван (+1)</t>
  </si>
  <si>
    <t>Open (30.03.1991)/24</t>
  </si>
  <si>
    <t>81,30</t>
  </si>
  <si>
    <t xml:space="preserve">Саратовская </t>
  </si>
  <si>
    <t xml:space="preserve">Саратов/Саратовская область </t>
  </si>
  <si>
    <t>185,0</t>
  </si>
  <si>
    <t>195,0</t>
  </si>
  <si>
    <t>207,5</t>
  </si>
  <si>
    <t>145,0</t>
  </si>
  <si>
    <t>152,5</t>
  </si>
  <si>
    <t>542.50</t>
  </si>
  <si>
    <t xml:space="preserve">Чепурнов В. </t>
  </si>
  <si>
    <t>ВЕСОВАЯ КАТЕГОРИЯ   90</t>
  </si>
  <si>
    <t>Расторгуев Дмитрий</t>
  </si>
  <si>
    <t>Расторгуев Дмитрий (+МС)</t>
  </si>
  <si>
    <t>Junior (18.12.1993)/21</t>
  </si>
  <si>
    <t>89,00</t>
  </si>
  <si>
    <t>275,0</t>
  </si>
  <si>
    <t>280,0</t>
  </si>
  <si>
    <t>290,0</t>
  </si>
  <si>
    <t>250,0</t>
  </si>
  <si>
    <t>267,5</t>
  </si>
  <si>
    <t>287,5</t>
  </si>
  <si>
    <t>712.50</t>
  </si>
  <si>
    <t xml:space="preserve">Михеев В.Н. </t>
  </si>
  <si>
    <t>Большов Андрей</t>
  </si>
  <si>
    <t>Большов Андрей (+1)</t>
  </si>
  <si>
    <t>Junior (24.11.1991)/23</t>
  </si>
  <si>
    <t>89,10</t>
  </si>
  <si>
    <t>132,5</t>
  </si>
  <si>
    <t>205,0</t>
  </si>
  <si>
    <t>550.00</t>
  </si>
  <si>
    <t>Аниканов Антон</t>
  </si>
  <si>
    <t>Аниканов Антон (+МСМК)</t>
  </si>
  <si>
    <t>Open (12.02.1985)/30</t>
  </si>
  <si>
    <t>88,70</t>
  </si>
  <si>
    <t>255,0</t>
  </si>
  <si>
    <t>265,0</t>
  </si>
  <si>
    <t>197,5</t>
  </si>
  <si>
    <t>295,0</t>
  </si>
  <si>
    <t>765.00</t>
  </si>
  <si>
    <t>Еремин Геннадий</t>
  </si>
  <si>
    <t>Еремин Геннадий (+МС)</t>
  </si>
  <si>
    <t>Open (09.06.1977)/37</t>
  </si>
  <si>
    <t xml:space="preserve">Брянская </t>
  </si>
  <si>
    <t xml:space="preserve">Брянск/Брянская область </t>
  </si>
  <si>
    <t>270,0</t>
  </si>
  <si>
    <t>285,0</t>
  </si>
  <si>
    <t>305,0</t>
  </si>
  <si>
    <t>730.00</t>
  </si>
  <si>
    <t>Open (18.12.1993)/21</t>
  </si>
  <si>
    <t>Чередниченко Александр</t>
  </si>
  <si>
    <t>Open (04.02.1991)/24</t>
  </si>
  <si>
    <t>88,30</t>
  </si>
  <si>
    <t xml:space="preserve">Волгоградская </t>
  </si>
  <si>
    <t xml:space="preserve">Волгоград/Волгоградская область </t>
  </si>
  <si>
    <t>0.00</t>
  </si>
  <si>
    <t>ВЕСОВАЯ КАТЕГОРИЯ   100</t>
  </si>
  <si>
    <t>Зайцев Владимир</t>
  </si>
  <si>
    <t>Sub Junior II (21.05.1997)/17</t>
  </si>
  <si>
    <t>90,20</t>
  </si>
  <si>
    <t>105,0</t>
  </si>
  <si>
    <t>130,0</t>
  </si>
  <si>
    <t>107,5</t>
  </si>
  <si>
    <t>110,0</t>
  </si>
  <si>
    <t>160,0</t>
  </si>
  <si>
    <t>397.50</t>
  </si>
  <si>
    <t>Гнатюк Николай</t>
  </si>
  <si>
    <t>Гнатюк Николай (+МС)</t>
  </si>
  <si>
    <t>Open (03.09.1987)/27</t>
  </si>
  <si>
    <t>98,00</t>
  </si>
  <si>
    <t xml:space="preserve">Ростовская </t>
  </si>
  <si>
    <t xml:space="preserve">Ростов-на-Дону/Ростовская область </t>
  </si>
  <si>
    <t>187,5</t>
  </si>
  <si>
    <t>307,5</t>
  </si>
  <si>
    <t>800.00</t>
  </si>
  <si>
    <t xml:space="preserve">Романов Р.Ф. </t>
  </si>
  <si>
    <t>Ершов Илья</t>
  </si>
  <si>
    <t>Ершов Илья (+КМС)</t>
  </si>
  <si>
    <t>Open (20.10.1988)/26</t>
  </si>
  <si>
    <t>98,20</t>
  </si>
  <si>
    <t>230,0</t>
  </si>
  <si>
    <t>245,0</t>
  </si>
  <si>
    <t>157,5</t>
  </si>
  <si>
    <t>162,5</t>
  </si>
  <si>
    <t>235,0</t>
  </si>
  <si>
    <t>252,5</t>
  </si>
  <si>
    <t>652.50</t>
  </si>
  <si>
    <t xml:space="preserve">Парфенова М.Ю., Настин М.Б. </t>
  </si>
  <si>
    <t>ВЕСОВАЯ КАТЕГОРИЯ   110</t>
  </si>
  <si>
    <t>Серегин Михаил</t>
  </si>
  <si>
    <t>Серегин Михаил (+КМС)</t>
  </si>
  <si>
    <t>Sub Junior II (09.03.1995)/20</t>
  </si>
  <si>
    <t>108,90</t>
  </si>
  <si>
    <t>260,0</t>
  </si>
  <si>
    <t>665.00</t>
  </si>
  <si>
    <t>Чухнов Павел</t>
  </si>
  <si>
    <t>Чухнов Павел (+МС)</t>
  </si>
  <si>
    <t>Open (05.03.1989)/26</t>
  </si>
  <si>
    <t>107,00</t>
  </si>
  <si>
    <t xml:space="preserve">Михайловка/Волгоградская область </t>
  </si>
  <si>
    <t>300,0</t>
  </si>
  <si>
    <t>760.00</t>
  </si>
  <si>
    <t>Куликов Вадим</t>
  </si>
  <si>
    <t>Куликов Вадим (+КМС)</t>
  </si>
  <si>
    <t>Open (18.02.1967)/48</t>
  </si>
  <si>
    <t>101,40</t>
  </si>
  <si>
    <t>155,0</t>
  </si>
  <si>
    <t>690.00</t>
  </si>
  <si>
    <t xml:space="preserve">Москвин А. </t>
  </si>
  <si>
    <t>Жильцов Александр</t>
  </si>
  <si>
    <t>Жильцов Александр (+2)</t>
  </si>
  <si>
    <t>Open (04.04.1985)/30</t>
  </si>
  <si>
    <t>106,80</t>
  </si>
  <si>
    <t>580.00</t>
  </si>
  <si>
    <t xml:space="preserve">Ягунов А.Н. </t>
  </si>
  <si>
    <t>ВЕСОВАЯ КАТЕГОРИЯ   125</t>
  </si>
  <si>
    <t>Клопков Илья</t>
  </si>
  <si>
    <t>Клопков Илья (+МС)</t>
  </si>
  <si>
    <t>Junior (03.05.1994)/21</t>
  </si>
  <si>
    <t>116,90</t>
  </si>
  <si>
    <t xml:space="preserve">Петровск/Саратовская область </t>
  </si>
  <si>
    <t>240,0</t>
  </si>
  <si>
    <t>192,5</t>
  </si>
  <si>
    <t>310,0</t>
  </si>
  <si>
    <t>320,0</t>
  </si>
  <si>
    <t>772.50</t>
  </si>
  <si>
    <t>Лузанов Александр</t>
  </si>
  <si>
    <t>Лузанов Александр (+1)</t>
  </si>
  <si>
    <t>Junior (30.09.1993)/21</t>
  </si>
  <si>
    <t>111,30</t>
  </si>
  <si>
    <t xml:space="preserve">Санкт-Петербург </t>
  </si>
  <si>
    <t>635.00</t>
  </si>
  <si>
    <t>ВЕСОВАЯ КАТЕГОРИЯ   140</t>
  </si>
  <si>
    <t>Иванков Владимир</t>
  </si>
  <si>
    <t>Иванков Владимир (+МС)</t>
  </si>
  <si>
    <t>Open (03.07.1986)/28</t>
  </si>
  <si>
    <t>138,70</t>
  </si>
  <si>
    <t xml:space="preserve">Рязанская </t>
  </si>
  <si>
    <t xml:space="preserve">Рязань/Рязанская область </t>
  </si>
  <si>
    <t>325,0</t>
  </si>
  <si>
    <t>340,0</t>
  </si>
  <si>
    <t>840.00</t>
  </si>
  <si>
    <t xml:space="preserve">Зверев Г.И. </t>
  </si>
  <si>
    <t>Ракчеев Дмитрий</t>
  </si>
  <si>
    <t>Ракчеев Дмитрий (+2)</t>
  </si>
  <si>
    <t>Master I (19.10.1971)/43</t>
  </si>
  <si>
    <t>125,60</t>
  </si>
  <si>
    <t xml:space="preserve">Московская </t>
  </si>
  <si>
    <t xml:space="preserve">Химки/Московская область </t>
  </si>
  <si>
    <t xml:space="preserve">Дараган С.М. </t>
  </si>
  <si>
    <t>ВЕСОВАЯ КАТЕГОРИЯ   140+</t>
  </si>
  <si>
    <t>Одегов Сергей</t>
  </si>
  <si>
    <t>Одегов Сергей (+МС)</t>
  </si>
  <si>
    <t>Open (02.10.1976)/38</t>
  </si>
  <si>
    <t>140,80</t>
  </si>
  <si>
    <t xml:space="preserve">Пермский </t>
  </si>
  <si>
    <t xml:space="preserve">Пермь/Пермский край </t>
  </si>
  <si>
    <t>345,0</t>
  </si>
  <si>
    <t>225,0</t>
  </si>
  <si>
    <t>360,0</t>
  </si>
  <si>
    <t>920.00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</si>
  <si>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</si>
  <si>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</si>
  <si>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</si>
  <si>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</si>
  <si>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</si>
  <si>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</si>
  <si>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</si>
  <si>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</si>
  <si>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</si>
  <si>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</si>
  <si>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</si>
  <si>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</si>
  <si>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</si>
  <si>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90+ </t>
  </si>
  <si>
    <t>382,5</t>
  </si>
  <si>
    <t>312,3877</t>
  </si>
  <si>
    <t xml:space="preserve">Мужчины </t>
  </si>
  <si>
    <t xml:space="preserve">Саб юниоры II </t>
  </si>
  <si>
    <t xml:space="preserve">110 </t>
  </si>
  <si>
    <t>665,0</t>
  </si>
  <si>
    <t>392,5495</t>
  </si>
  <si>
    <t xml:space="preserve">75 </t>
  </si>
  <si>
    <t>505,0</t>
  </si>
  <si>
    <t>362,5395</t>
  </si>
  <si>
    <t xml:space="preserve">100 </t>
  </si>
  <si>
    <t>397,5</t>
  </si>
  <si>
    <t>253,4858</t>
  </si>
  <si>
    <t xml:space="preserve">Юниоры </t>
  </si>
  <si>
    <t xml:space="preserve">90 </t>
  </si>
  <si>
    <t>712,5</t>
  </si>
  <si>
    <t>457,4962</t>
  </si>
  <si>
    <t xml:space="preserve">125 </t>
  </si>
  <si>
    <t>772,5</t>
  </si>
  <si>
    <t>446,9685</t>
  </si>
  <si>
    <t>635,0</t>
  </si>
  <si>
    <t>372,3640</t>
  </si>
  <si>
    <t>550,0</t>
  </si>
  <si>
    <t>352,9350</t>
  </si>
  <si>
    <t xml:space="preserve">140+ </t>
  </si>
  <si>
    <t>920,0</t>
  </si>
  <si>
    <t>513,6360</t>
  </si>
  <si>
    <t>765,0</t>
  </si>
  <si>
    <t>492,0480</t>
  </si>
  <si>
    <t>800,0</t>
  </si>
  <si>
    <t>490,8800</t>
  </si>
  <si>
    <t xml:space="preserve">140 </t>
  </si>
  <si>
    <t>840,0</t>
  </si>
  <si>
    <t>470,0640</t>
  </si>
  <si>
    <t>730,0</t>
  </si>
  <si>
    <t>469,5360</t>
  </si>
  <si>
    <t>760,0</t>
  </si>
  <si>
    <t>451,2120</t>
  </si>
  <si>
    <t>690,0</t>
  </si>
  <si>
    <t>417,6570</t>
  </si>
  <si>
    <t>652,5</t>
  </si>
  <si>
    <t>400,0477</t>
  </si>
  <si>
    <t xml:space="preserve">82.5 </t>
  </si>
  <si>
    <t>572,5</t>
  </si>
  <si>
    <t>384,6627</t>
  </si>
  <si>
    <t>542,5</t>
  </si>
  <si>
    <t>366,6757</t>
  </si>
  <si>
    <t>580,0</t>
  </si>
  <si>
    <t>344,5780</t>
  </si>
  <si>
    <t xml:space="preserve">Мастера I </t>
  </si>
  <si>
    <t>361,5055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</si>
  <si>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</si>
  <si>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</si>
  <si>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</si>
  <si>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</si>
  <si>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>ВЕСОВАЯ КАТЕГОРИЯ   44</t>
  </si>
  <si>
    <t>Шпейтер Динара</t>
  </si>
  <si>
    <t>Шпейтер Динара (+3)</t>
  </si>
  <si>
    <t>Sub Junior I (08.10.2002)/12</t>
  </si>
  <si>
    <t>40,00</t>
  </si>
  <si>
    <t xml:space="preserve">Алтайский </t>
  </si>
  <si>
    <t xml:space="preserve">Барнаул/Алтайский край </t>
  </si>
  <si>
    <t>55,0</t>
  </si>
  <si>
    <t>60,0</t>
  </si>
  <si>
    <t>30,0</t>
  </si>
  <si>
    <t>32,5</t>
  </si>
  <si>
    <t>35,0</t>
  </si>
  <si>
    <t>65,0</t>
  </si>
  <si>
    <t xml:space="preserve">Маркова Д.В. </t>
  </si>
  <si>
    <t>ВЕСОВАЯ КАТЕГОРИЯ   60</t>
  </si>
  <si>
    <t>Борисенкова Елена</t>
  </si>
  <si>
    <t>Борисенкова Елена (+1Ю)</t>
  </si>
  <si>
    <t>Junior (05.12.1991)/23</t>
  </si>
  <si>
    <t>58,80</t>
  </si>
  <si>
    <t>70,0</t>
  </si>
  <si>
    <t>40,0</t>
  </si>
  <si>
    <t xml:space="preserve">Аваков Р. </t>
  </si>
  <si>
    <t>Полянский Никита</t>
  </si>
  <si>
    <t>Полянский Никита (+1)</t>
  </si>
  <si>
    <t>Sub Junior II (29.11.1996)/18</t>
  </si>
  <si>
    <t>59,90</t>
  </si>
  <si>
    <t>82,5</t>
  </si>
  <si>
    <t xml:space="preserve">Терушкин Р. </t>
  </si>
  <si>
    <t>Коваленко Илья</t>
  </si>
  <si>
    <t>Коваленко Илья (+МС)</t>
  </si>
  <si>
    <t>Sub Junior II (02.08.1995)/19</t>
  </si>
  <si>
    <t>75,00</t>
  </si>
  <si>
    <t>212,5</t>
  </si>
  <si>
    <t xml:space="preserve">Швецов Станислав </t>
  </si>
  <si>
    <t>Ромашин Александр</t>
  </si>
  <si>
    <t>Ромашин Александр (+КМС)</t>
  </si>
  <si>
    <t>Junior (14.05.1993)/21</t>
  </si>
  <si>
    <t>73,60</t>
  </si>
  <si>
    <t>115,0</t>
  </si>
  <si>
    <t xml:space="preserve">Анточ М.Н. </t>
  </si>
  <si>
    <t>Грибов Илья</t>
  </si>
  <si>
    <t>Грибов Илья (+2)</t>
  </si>
  <si>
    <t>Open (19.04.1990)/25</t>
  </si>
  <si>
    <t>73,40</t>
  </si>
  <si>
    <t>90,0</t>
  </si>
  <si>
    <t>100,0</t>
  </si>
  <si>
    <t>Макаров Александр</t>
  </si>
  <si>
    <t>Макаров Александр (+МС)</t>
  </si>
  <si>
    <t>Open (08.10.1983)/31</t>
  </si>
  <si>
    <t>82,30</t>
  </si>
  <si>
    <t xml:space="preserve">Пугачёв/Саратовская область </t>
  </si>
  <si>
    <t>232,5</t>
  </si>
  <si>
    <t>Миранович Александр</t>
  </si>
  <si>
    <t>Миранович Александр (+КМС)</t>
  </si>
  <si>
    <t>Open (23.10.1986)/28</t>
  </si>
  <si>
    <t>80,90</t>
  </si>
  <si>
    <t xml:space="preserve">Астахов Д. </t>
  </si>
  <si>
    <t>Михайлов Кирилл</t>
  </si>
  <si>
    <t>Михайлов Кирилл (+1)</t>
  </si>
  <si>
    <t>Open (06.08.1989)/25</t>
  </si>
  <si>
    <t>Кузин Кирилл</t>
  </si>
  <si>
    <t>Кузин Кирилл (+1)</t>
  </si>
  <si>
    <t>Sub Junior II (27.02.1996)/19</t>
  </si>
  <si>
    <t>85,30</t>
  </si>
  <si>
    <t xml:space="preserve">Климовск/Московская область </t>
  </si>
  <si>
    <t xml:space="preserve">Мохов С.В. </t>
  </si>
  <si>
    <t>Яшин Руслан</t>
  </si>
  <si>
    <t>Sub Junior II (22.01.1997)/18</t>
  </si>
  <si>
    <t>82,90</t>
  </si>
  <si>
    <t xml:space="preserve">Железнодорожный/Московская область </t>
  </si>
  <si>
    <t>Майхов Павел</t>
  </si>
  <si>
    <t>Майхов Павел (+2)</t>
  </si>
  <si>
    <t>Junior (22.05.1994)/20</t>
  </si>
  <si>
    <t>86,00</t>
  </si>
  <si>
    <t xml:space="preserve">Калужская </t>
  </si>
  <si>
    <t xml:space="preserve">Малоярославец/Калужская область </t>
  </si>
  <si>
    <t>95,0</t>
  </si>
  <si>
    <t>Ларин Александр</t>
  </si>
  <si>
    <t>Ларин Александр (+1)</t>
  </si>
  <si>
    <t>Open (31.01.1990)/25</t>
  </si>
  <si>
    <t>89,90</t>
  </si>
  <si>
    <t>Шатловский Евгений</t>
  </si>
  <si>
    <t>Open (12.05.1975)/40</t>
  </si>
  <si>
    <t>95,20</t>
  </si>
  <si>
    <t>Горев Олег</t>
  </si>
  <si>
    <t>Open (31.03.1988)/27</t>
  </si>
  <si>
    <t xml:space="preserve">Тюменская </t>
  </si>
  <si>
    <t xml:space="preserve">Ишим/Тюменская область </t>
  </si>
  <si>
    <t>Митрофанов Василий</t>
  </si>
  <si>
    <t>Митрофанов Василий (+МС)</t>
  </si>
  <si>
    <t>Open (04.07.1987)/27</t>
  </si>
  <si>
    <t>102,60</t>
  </si>
  <si>
    <t xml:space="preserve">Владимирская </t>
  </si>
  <si>
    <t xml:space="preserve">Гороховец/Владимирская область </t>
  </si>
  <si>
    <t>177,5</t>
  </si>
  <si>
    <t>272,5</t>
  </si>
  <si>
    <t>Решетников Артем</t>
  </si>
  <si>
    <t>Решетников Артем (+МС)</t>
  </si>
  <si>
    <t>Open (08.06.1989)/25</t>
  </si>
  <si>
    <t>105,70</t>
  </si>
  <si>
    <t xml:space="preserve">Тюмень/Тюменская область </t>
  </si>
  <si>
    <t>282,5</t>
  </si>
  <si>
    <t>Соловьев Константин</t>
  </si>
  <si>
    <t>Соловьев Константин (+2)</t>
  </si>
  <si>
    <t>Sub Junior II (18.07.1995)/19</t>
  </si>
  <si>
    <t>110,40</t>
  </si>
  <si>
    <t>237,5</t>
  </si>
  <si>
    <t xml:space="preserve">Бебенин Г. </t>
  </si>
  <si>
    <t>Елисеев Сергей</t>
  </si>
  <si>
    <t>Елисеев Сергей (+КМС)</t>
  </si>
  <si>
    <t>Open (27.01.1979)/36</t>
  </si>
  <si>
    <t>123,10</t>
  </si>
  <si>
    <t>Длужневский Дмитрий</t>
  </si>
  <si>
    <t>Длужневский Дмитрий (+МС)</t>
  </si>
  <si>
    <t>Open (28.10.1983)/31</t>
  </si>
  <si>
    <t>138,00</t>
  </si>
  <si>
    <t xml:space="preserve">Кубинка/Московская область </t>
  </si>
  <si>
    <t xml:space="preserve">Зобов Л.Н. </t>
  </si>
  <si>
    <t xml:space="preserve">Саб юниоры I </t>
  </si>
  <si>
    <t xml:space="preserve">44 </t>
  </si>
  <si>
    <t>227,7740</t>
  </si>
  <si>
    <t xml:space="preserve">60 </t>
  </si>
  <si>
    <t>198,1875</t>
  </si>
  <si>
    <t>555,0</t>
  </si>
  <si>
    <t>395,4930</t>
  </si>
  <si>
    <t>535,0</t>
  </si>
  <si>
    <t>351,4950</t>
  </si>
  <si>
    <t>552,5</t>
  </si>
  <si>
    <t>324,7595</t>
  </si>
  <si>
    <t>370,0</t>
  </si>
  <si>
    <t>316,0540</t>
  </si>
  <si>
    <t>500,0</t>
  </si>
  <si>
    <t>361,0500</t>
  </si>
  <si>
    <t>470,0</t>
  </si>
  <si>
    <t>307,3800</t>
  </si>
  <si>
    <t>715,0</t>
  </si>
  <si>
    <t>430,8590</t>
  </si>
  <si>
    <t>750,0</t>
  </si>
  <si>
    <t>420,0000</t>
  </si>
  <si>
    <t>700,0</t>
  </si>
  <si>
    <t>417,3400</t>
  </si>
  <si>
    <t>587,5</t>
  </si>
  <si>
    <t>394,1537</t>
  </si>
  <si>
    <t>647,5</t>
  </si>
  <si>
    <t>370,1757</t>
  </si>
  <si>
    <t>545,0</t>
  </si>
  <si>
    <t>369,4555</t>
  </si>
  <si>
    <t>346,5490</t>
  </si>
  <si>
    <t>475,0</t>
  </si>
  <si>
    <t>322,0025</t>
  </si>
  <si>
    <t>400,0</t>
  </si>
  <si>
    <t>289,4000</t>
  </si>
  <si>
    <t>ВЕСОВАЯ КАТЕГОРИЯ   67.5</t>
  </si>
  <si>
    <t>Борисенко Дмитрий</t>
  </si>
  <si>
    <t>Борисенко Дмитрий (+КМС)</t>
  </si>
  <si>
    <t>Open (12.04.1988)/27</t>
  </si>
  <si>
    <t>66,00</t>
  </si>
  <si>
    <t>Нгуен Дык-Зунг</t>
  </si>
  <si>
    <t>Нгуен Дык-Зунг (+1)</t>
  </si>
  <si>
    <t>Junior (07.05.1994)/21</t>
  </si>
  <si>
    <t>72,90</t>
  </si>
  <si>
    <t>Жаворонков Алексей</t>
  </si>
  <si>
    <t>Жаворонков Алексей (+МС)</t>
  </si>
  <si>
    <t>Sub Junior II (23.08.1996)/18</t>
  </si>
  <si>
    <t>82,20</t>
  </si>
  <si>
    <t xml:space="preserve">Тульская </t>
  </si>
  <si>
    <t xml:space="preserve">Новомосковск/Тульская область </t>
  </si>
  <si>
    <t xml:space="preserve">Колягин Д.И. </t>
  </si>
  <si>
    <t>Трофимов Дмитрий</t>
  </si>
  <si>
    <t>Трофимов Дмитрий (+МС)</t>
  </si>
  <si>
    <t>Open (12.09.1972)/42</t>
  </si>
  <si>
    <t>81,90</t>
  </si>
  <si>
    <t xml:space="preserve">Пензенская </t>
  </si>
  <si>
    <t xml:space="preserve">Пенза/Пензенская область </t>
  </si>
  <si>
    <t>172,5</t>
  </si>
  <si>
    <t xml:space="preserve">Дурцев Н.И. </t>
  </si>
  <si>
    <t>Фомин Сергей</t>
  </si>
  <si>
    <t>Фомин Сергей (+КМС)</t>
  </si>
  <si>
    <t>Open (16.04.1983)/32</t>
  </si>
  <si>
    <t>80,00</t>
  </si>
  <si>
    <t xml:space="preserve">Липецкая </t>
  </si>
  <si>
    <t xml:space="preserve">Липецк/Липецкая область </t>
  </si>
  <si>
    <t>Семенихин Иван (+КМС)</t>
  </si>
  <si>
    <t>80,60</t>
  </si>
  <si>
    <t>147,5</t>
  </si>
  <si>
    <t>Петрокович Николай</t>
  </si>
  <si>
    <t>Петрокович Николай (+1)</t>
  </si>
  <si>
    <t>Open (17.08.1979)/35</t>
  </si>
  <si>
    <t>77,40</t>
  </si>
  <si>
    <t>137,5</t>
  </si>
  <si>
    <t>Master I (12.09.1972)/42</t>
  </si>
  <si>
    <t>Мартиросов Эдуард</t>
  </si>
  <si>
    <t>Мартиросов Эдуард (+1)</t>
  </si>
  <si>
    <t>Sub Junior II (22.06.1995)/19</t>
  </si>
  <si>
    <t>88,10</t>
  </si>
  <si>
    <t xml:space="preserve">Хотьково/Московская область </t>
  </si>
  <si>
    <t xml:space="preserve">Парамонов И.А. </t>
  </si>
  <si>
    <t>Алиев Володимир</t>
  </si>
  <si>
    <t>Алиев Володимир (+МС)</t>
  </si>
  <si>
    <t>Junior (26.01.1992)/23</t>
  </si>
  <si>
    <t>86,10</t>
  </si>
  <si>
    <t xml:space="preserve">Украина </t>
  </si>
  <si>
    <t xml:space="preserve">Макеевка/Донецкая </t>
  </si>
  <si>
    <t>167,5</t>
  </si>
  <si>
    <t xml:space="preserve">Мельников Н.А. </t>
  </si>
  <si>
    <t>Бегерин Рустам</t>
  </si>
  <si>
    <t>Бегерин Рустам (+КМС)</t>
  </si>
  <si>
    <t>Junior (12.06.1994)/20</t>
  </si>
  <si>
    <t>88,80</t>
  </si>
  <si>
    <t xml:space="preserve">Скоромный А. </t>
  </si>
  <si>
    <t>Коликов Илья</t>
  </si>
  <si>
    <t>Коликов Илья (+1)</t>
  </si>
  <si>
    <t>Junior (08.02.1992)/23</t>
  </si>
  <si>
    <t>87,70</t>
  </si>
  <si>
    <t>Кармишин Владислав</t>
  </si>
  <si>
    <t>Кармишин Владислав (+1)</t>
  </si>
  <si>
    <t>Junior (01.03.1994)/21</t>
  </si>
  <si>
    <t>88,40</t>
  </si>
  <si>
    <t>Калугин Игорь</t>
  </si>
  <si>
    <t>Калугин Игорь (+МС)</t>
  </si>
  <si>
    <t>Open (21.10.1983)/31</t>
  </si>
  <si>
    <t xml:space="preserve">Троицк/Московская область </t>
  </si>
  <si>
    <t xml:space="preserve">Голубев Ярослав </t>
  </si>
  <si>
    <t>Веригин Владислав</t>
  </si>
  <si>
    <t>Веригин Владислав (+КМС)</t>
  </si>
  <si>
    <t>Open (11.04.1989)/26</t>
  </si>
  <si>
    <t>88,50</t>
  </si>
  <si>
    <t xml:space="preserve">Кабардино-Балкария </t>
  </si>
  <si>
    <t xml:space="preserve">Нальчик/Кабардино-Балкария </t>
  </si>
  <si>
    <t xml:space="preserve">Жашуев М. </t>
  </si>
  <si>
    <t>Колягин Дмитрий</t>
  </si>
  <si>
    <t>Колягин Дмитрий (+1)</t>
  </si>
  <si>
    <t>Open (21.02.1988)/27</t>
  </si>
  <si>
    <t>87,40</t>
  </si>
  <si>
    <t>Пальчик Владислав</t>
  </si>
  <si>
    <t>Пальчик Владислав (+МС)</t>
  </si>
  <si>
    <t>Junior (09.01.1992)/23</t>
  </si>
  <si>
    <t>98,60</t>
  </si>
  <si>
    <t xml:space="preserve">Северодонецк/Луганская </t>
  </si>
  <si>
    <t>182,5</t>
  </si>
  <si>
    <t xml:space="preserve">Воденников Н.Д. </t>
  </si>
  <si>
    <t>Образцов Илья</t>
  </si>
  <si>
    <t>Образцов Илья (+КМС)</t>
  </si>
  <si>
    <t>Junior (30.07.1991)/23</t>
  </si>
  <si>
    <t>97,20</t>
  </si>
  <si>
    <t>Бельков Юрий</t>
  </si>
  <si>
    <t>Бельков Юрий (+МСМК)</t>
  </si>
  <si>
    <t>Open (05.01.1987)/28</t>
  </si>
  <si>
    <t>99,90</t>
  </si>
  <si>
    <t>Борщев Александр</t>
  </si>
  <si>
    <t>Борщев Александр (+МС)</t>
  </si>
  <si>
    <t>Open (24.03.1986)/29</t>
  </si>
  <si>
    <t>97,10</t>
  </si>
  <si>
    <t>202,5</t>
  </si>
  <si>
    <t xml:space="preserve">самост. </t>
  </si>
  <si>
    <t>Пресняков Николай</t>
  </si>
  <si>
    <t>Пресняков Николай (+МС)</t>
  </si>
  <si>
    <t>Open (27.03.1990)/25</t>
  </si>
  <si>
    <t>96,70</t>
  </si>
  <si>
    <t xml:space="preserve">Владимир/Владимирская область </t>
  </si>
  <si>
    <t xml:space="preserve">Феденко Д.А. </t>
  </si>
  <si>
    <t>Иванов Вадим</t>
  </si>
  <si>
    <t>Иванов Вадим (+МС)</t>
  </si>
  <si>
    <t>Open (19.10.1988)/26</t>
  </si>
  <si>
    <t xml:space="preserve">Новосибирская </t>
  </si>
  <si>
    <t xml:space="preserve">Бердск/Новосибирская область </t>
  </si>
  <si>
    <t xml:space="preserve">Головинский Д. </t>
  </si>
  <si>
    <t>Сердюков Дмитрий</t>
  </si>
  <si>
    <t>Сердюков Дмитрий (+КМС)</t>
  </si>
  <si>
    <t>Junior (03.11.1991)/23</t>
  </si>
  <si>
    <t>107,50</t>
  </si>
  <si>
    <t>Бегинин Валерий</t>
  </si>
  <si>
    <t>Бегинин Валерий (+МС)</t>
  </si>
  <si>
    <t>Open (02.01.1979)/36</t>
  </si>
  <si>
    <t>108,30</t>
  </si>
  <si>
    <t xml:space="preserve">Крым </t>
  </si>
  <si>
    <t xml:space="preserve">Бахчисарай/Крым </t>
  </si>
  <si>
    <t xml:space="preserve">Варава И. </t>
  </si>
  <si>
    <t>Голубев Ярослав</t>
  </si>
  <si>
    <t>Голубев Ярослав (+МС)</t>
  </si>
  <si>
    <t>Open (02.02.1980)/35</t>
  </si>
  <si>
    <t>109,30</t>
  </si>
  <si>
    <t>Столяров Алексей</t>
  </si>
  <si>
    <t>Столяров Алексей (+МС)</t>
  </si>
  <si>
    <t>Open (29.01.1986)/29</t>
  </si>
  <si>
    <t xml:space="preserve">Калугин В. </t>
  </si>
  <si>
    <t>Мусаев Ахмед</t>
  </si>
  <si>
    <t>Мусаев Ахмед (+КМС)</t>
  </si>
  <si>
    <t>Open (10.10.1980)/34</t>
  </si>
  <si>
    <t>104,50</t>
  </si>
  <si>
    <t xml:space="preserve">Чиликин А. </t>
  </si>
  <si>
    <t>Самсонов Дмитрий</t>
  </si>
  <si>
    <t>Самсонов Дмитрий (+КМС)</t>
  </si>
  <si>
    <t>Junior (11.02.1993)/22</t>
  </si>
  <si>
    <t>120,20</t>
  </si>
  <si>
    <t xml:space="preserve">Пикляев Д.Г. </t>
  </si>
  <si>
    <t>Васильев Евгений</t>
  </si>
  <si>
    <t>Васильев Евгений (+МС)</t>
  </si>
  <si>
    <t>Open (09.04.1982)/33</t>
  </si>
  <si>
    <t>115,60</t>
  </si>
  <si>
    <t>227,5</t>
  </si>
  <si>
    <t>Ларионов Олег</t>
  </si>
  <si>
    <t>Open (12.10.1974)/40</t>
  </si>
  <si>
    <t>129,90</t>
  </si>
  <si>
    <t xml:space="preserve">Жуковский/Московская область </t>
  </si>
  <si>
    <t>Степанов Андрей</t>
  </si>
  <si>
    <t>Степанов Андрей (+1)</t>
  </si>
  <si>
    <t>Open (08.04.1991)/24</t>
  </si>
  <si>
    <t>132,80</t>
  </si>
  <si>
    <t xml:space="preserve">Красногорск/Московская область </t>
  </si>
  <si>
    <t>Ларионов Олег (+КМС)</t>
  </si>
  <si>
    <t>Master I (12.10.1974)/40</t>
  </si>
  <si>
    <t>Карпов Станислав</t>
  </si>
  <si>
    <t>Карпов Станислав (+МС)</t>
  </si>
  <si>
    <t>Master I (07.04.1971)/44</t>
  </si>
  <si>
    <t>167,10</t>
  </si>
  <si>
    <t xml:space="preserve">Андрян В. </t>
  </si>
  <si>
    <t>117,4950</t>
  </si>
  <si>
    <t>91,9838</t>
  </si>
  <si>
    <t>117,6480</t>
  </si>
  <si>
    <t>116,2990</t>
  </si>
  <si>
    <t>114,1140</t>
  </si>
  <si>
    <t>112,0665</t>
  </si>
  <si>
    <t>109,2760</t>
  </si>
  <si>
    <t>103,1465</t>
  </si>
  <si>
    <t>97,0650</t>
  </si>
  <si>
    <t>94,5230</t>
  </si>
  <si>
    <t>90,2160</t>
  </si>
  <si>
    <t>134,9197</t>
  </si>
  <si>
    <t>133,9360</t>
  </si>
  <si>
    <t>130,1080</t>
  </si>
  <si>
    <t>128,2597</t>
  </si>
  <si>
    <t>127,3445</t>
  </si>
  <si>
    <t>124,7603</t>
  </si>
  <si>
    <t>123,4400</t>
  </si>
  <si>
    <t>121,3720</t>
  </si>
  <si>
    <t>118,7970</t>
  </si>
  <si>
    <t>116,0753</t>
  </si>
  <si>
    <t>115,6720</t>
  </si>
  <si>
    <t>109,4800</t>
  </si>
  <si>
    <t>109,2320</t>
  </si>
  <si>
    <t>107,7480</t>
  </si>
  <si>
    <t xml:space="preserve">67.5 </t>
  </si>
  <si>
    <t>106,0020</t>
  </si>
  <si>
    <t>100,2262</t>
  </si>
  <si>
    <t>98,6125</t>
  </si>
  <si>
    <t>97,2450</t>
  </si>
  <si>
    <t>95,9062</t>
  </si>
  <si>
    <t>125,2580</t>
  </si>
  <si>
    <t>ВЕСОВАЯ КАТЕГОРИЯ   48</t>
  </si>
  <si>
    <t>Цивинская Ольга</t>
  </si>
  <si>
    <t>Цивинская Ольга (+МС)</t>
  </si>
  <si>
    <t>Open (29.06.1988)/26</t>
  </si>
  <si>
    <t>46,00</t>
  </si>
  <si>
    <t>45,0</t>
  </si>
  <si>
    <t>52,5</t>
  </si>
  <si>
    <t xml:space="preserve">Мирошкин Е. </t>
  </si>
  <si>
    <t>ВЕСОВАЯ КАТЕГОРИЯ   52</t>
  </si>
  <si>
    <t>Чернина Любовь</t>
  </si>
  <si>
    <t>Чернина Любовь (+КМС)</t>
  </si>
  <si>
    <t>Open (18.07.1986)/28</t>
  </si>
  <si>
    <t>51,80</t>
  </si>
  <si>
    <t xml:space="preserve">Russia </t>
  </si>
  <si>
    <t xml:space="preserve">Солнечногорск/Московская область </t>
  </si>
  <si>
    <t>50,0</t>
  </si>
  <si>
    <t>Докучаева Людмила</t>
  </si>
  <si>
    <t>Докучаева Людмила (+МСМК)</t>
  </si>
  <si>
    <t>Open (20.01.1977)/38</t>
  </si>
  <si>
    <t>79,10</t>
  </si>
  <si>
    <t xml:space="preserve">Воронежская </t>
  </si>
  <si>
    <t xml:space="preserve">Воронеж/Воронежская область </t>
  </si>
  <si>
    <t>97,5</t>
  </si>
  <si>
    <t>Краснобаев Даниил</t>
  </si>
  <si>
    <t>Краснобаев Даниил (+1)</t>
  </si>
  <si>
    <t>Sub Junior II (04.06.1998)/16</t>
  </si>
  <si>
    <t>65,80</t>
  </si>
  <si>
    <t xml:space="preserve">Тула/Тульская область </t>
  </si>
  <si>
    <t>102,5</t>
  </si>
  <si>
    <t>Медведев Илья</t>
  </si>
  <si>
    <t>Медведев Илья (+3)</t>
  </si>
  <si>
    <t>Sub Junior I (25.03.1999)/16</t>
  </si>
  <si>
    <t>69,20</t>
  </si>
  <si>
    <t xml:space="preserve">Мишеронь/Московская </t>
  </si>
  <si>
    <t>87,5</t>
  </si>
  <si>
    <t>92,5</t>
  </si>
  <si>
    <t xml:space="preserve">Болдинов А.Г. </t>
  </si>
  <si>
    <t>Симановский Денис</t>
  </si>
  <si>
    <t>Симановский Денис (+МСМК)</t>
  </si>
  <si>
    <t>Junior (05.07.1993)/21</t>
  </si>
  <si>
    <t>71,10</t>
  </si>
  <si>
    <t xml:space="preserve">Раменское/Московская область </t>
  </si>
  <si>
    <t xml:space="preserve">Симановский И.В. </t>
  </si>
  <si>
    <t>Чугуров Сергей</t>
  </si>
  <si>
    <t>Чугуров Сергей (+МС)</t>
  </si>
  <si>
    <t>Junior (22.06.1993)/21</t>
  </si>
  <si>
    <t>74,00</t>
  </si>
  <si>
    <t xml:space="preserve">Куликов Д.И. </t>
  </si>
  <si>
    <t>Прибытов Игорь</t>
  </si>
  <si>
    <t>Прибытов Игорь (+КМС)</t>
  </si>
  <si>
    <t>Junior (28.09.1993)/21</t>
  </si>
  <si>
    <t>73,90</t>
  </si>
  <si>
    <t>Варшавский Илья</t>
  </si>
  <si>
    <t>Варшавский Илья (+МСМК)</t>
  </si>
  <si>
    <t>Open (03.11.1991)/23</t>
  </si>
  <si>
    <t>74,40</t>
  </si>
  <si>
    <t>Open (22.06.1993)/21</t>
  </si>
  <si>
    <t>Садыков Валерий</t>
  </si>
  <si>
    <t>Садыков Валерий (+КМС)</t>
  </si>
  <si>
    <t>Open (02.07.1976)/38</t>
  </si>
  <si>
    <t>72,00</t>
  </si>
  <si>
    <t xml:space="preserve">Азербайджан </t>
  </si>
  <si>
    <t xml:space="preserve">Баку/ </t>
  </si>
  <si>
    <t>Павленко Михаил</t>
  </si>
  <si>
    <t>Павленко Михаил (+КМС)</t>
  </si>
  <si>
    <t>Sub Junior II (15.10.1995)/19</t>
  </si>
  <si>
    <t xml:space="preserve">Ничик В. </t>
  </si>
  <si>
    <t>Евлашкин Антон</t>
  </si>
  <si>
    <t>Евлашкин Антон (+1)</t>
  </si>
  <si>
    <t>Sub Junior II (14.08.1995)/19</t>
  </si>
  <si>
    <t>127,5</t>
  </si>
  <si>
    <t>Болдинов Александр</t>
  </si>
  <si>
    <t>Болдинов Александр (+МС)</t>
  </si>
  <si>
    <t>Junior (17.10.1992)/22</t>
  </si>
  <si>
    <t>Верецун Сергей</t>
  </si>
  <si>
    <t>Верецун Сергей (+МС)</t>
  </si>
  <si>
    <t>Junior (03.03.1993)/22</t>
  </si>
  <si>
    <t>78,00</t>
  </si>
  <si>
    <t>Чанкин Дмитрий</t>
  </si>
  <si>
    <t>Чанкин Дмитрий (+КМС)</t>
  </si>
  <si>
    <t>Junior (05.12.1994)/20</t>
  </si>
  <si>
    <t>82,40</t>
  </si>
  <si>
    <t xml:space="preserve">Васюнин И. </t>
  </si>
  <si>
    <t>Махно Артур</t>
  </si>
  <si>
    <t>Махно Артур (+КМС)</t>
  </si>
  <si>
    <t>Junior (29.01.1995)/20</t>
  </si>
  <si>
    <t>80,40</t>
  </si>
  <si>
    <t xml:space="preserve">. </t>
  </si>
  <si>
    <t>Десятков Андрей</t>
  </si>
  <si>
    <t>Десятков Андрей (+МС)</t>
  </si>
  <si>
    <t>Open (13.07.1989)/25</t>
  </si>
  <si>
    <t>81,50</t>
  </si>
  <si>
    <t>Секельчук Роман</t>
  </si>
  <si>
    <t>Секельчук Роман (+КМС)</t>
  </si>
  <si>
    <t>Open (08.06.1988)/26</t>
  </si>
  <si>
    <t xml:space="preserve">Ярославская </t>
  </si>
  <si>
    <t xml:space="preserve">Рыбинск/Ярославская область </t>
  </si>
  <si>
    <t>Садовников Кирилл</t>
  </si>
  <si>
    <t>Садовников Кирилл (+КМС)</t>
  </si>
  <si>
    <t>Open (23.08.1990)/24</t>
  </si>
  <si>
    <t>79,50</t>
  </si>
  <si>
    <t xml:space="preserve">Смоленская </t>
  </si>
  <si>
    <t xml:space="preserve">Смоленск/Смоленская область </t>
  </si>
  <si>
    <t>Прибытов Олег</t>
  </si>
  <si>
    <t>Прибытов Олег (+1)</t>
  </si>
  <si>
    <t>Junior (17.11.1991)/23</t>
  </si>
  <si>
    <t>87,50</t>
  </si>
  <si>
    <t>Щукин Леонид</t>
  </si>
  <si>
    <t>Щукин Леонид (+МСМК)</t>
  </si>
  <si>
    <t>Open (12.01.1982)/33</t>
  </si>
  <si>
    <t>89,30</t>
  </si>
  <si>
    <t xml:space="preserve">Домодедово/Московская область </t>
  </si>
  <si>
    <t>Кулиев Тахир</t>
  </si>
  <si>
    <t>Кулиев Тахир (+МС)</t>
  </si>
  <si>
    <t>Open (08.08.1980)/34</t>
  </si>
  <si>
    <t>85,90</t>
  </si>
  <si>
    <t>Сивков Андрей</t>
  </si>
  <si>
    <t>Сивков Андрей (+КМС)</t>
  </si>
  <si>
    <t>Open (26.04.1982)/33</t>
  </si>
  <si>
    <t>88,20</t>
  </si>
  <si>
    <t>Костин Игорь</t>
  </si>
  <si>
    <t>Костин Игорь (+МСМК)</t>
  </si>
  <si>
    <t>Junior (24.06.1991)/23</t>
  </si>
  <si>
    <t>96,20</t>
  </si>
  <si>
    <t xml:space="preserve">Коломна/Московская область </t>
  </si>
  <si>
    <t>Open (24.06.1991)/23</t>
  </si>
  <si>
    <t>Кибилдс Андрис</t>
  </si>
  <si>
    <t>Кибилдс Андрис (+МС)</t>
  </si>
  <si>
    <t>Open (01.11.1983)/31</t>
  </si>
  <si>
    <t>99,40</t>
  </si>
  <si>
    <t>Калинин Кирилл</t>
  </si>
  <si>
    <t>Калинин Кирилл (+МС)</t>
  </si>
  <si>
    <t>Open (27.04.1990)/25</t>
  </si>
  <si>
    <t>98,50</t>
  </si>
  <si>
    <t>Рогожников Павел</t>
  </si>
  <si>
    <t>Рогожников Павел (+2)</t>
  </si>
  <si>
    <t>Open (07.03.1988)/27</t>
  </si>
  <si>
    <t>96,80</t>
  </si>
  <si>
    <t>Поцелуев Олег</t>
  </si>
  <si>
    <t>Поцелуев Олег (+2)</t>
  </si>
  <si>
    <t>Open (08.12.1982)/32</t>
  </si>
  <si>
    <t>92,20</t>
  </si>
  <si>
    <t>112,5</t>
  </si>
  <si>
    <t xml:space="preserve">Тухватшин О. </t>
  </si>
  <si>
    <t>Резанов Артемий</t>
  </si>
  <si>
    <t>Резанов Артемий (+МС)</t>
  </si>
  <si>
    <t>Master I (13.12.1974)/40</t>
  </si>
  <si>
    <t>Бит-Юхан Александр</t>
  </si>
  <si>
    <t>Бит-Юхан Александр (+МС)</t>
  </si>
  <si>
    <t>Master I (21.06.1969)/45</t>
  </si>
  <si>
    <t>99,20</t>
  </si>
  <si>
    <t xml:space="preserve">Егорьевск/Московская область </t>
  </si>
  <si>
    <t>Евдокимов Иван</t>
  </si>
  <si>
    <t>Евдокимов Иван (+КМС)</t>
  </si>
  <si>
    <t>Master II (24.02.1964)/51</t>
  </si>
  <si>
    <t>97,90</t>
  </si>
  <si>
    <t xml:space="preserve">Зеленоград/Москва/Московская </t>
  </si>
  <si>
    <t>Нифтуллаев Фирудин</t>
  </si>
  <si>
    <t>Нифтуллаев Фирудин (+МС)</t>
  </si>
  <si>
    <t>Open (19.12.1988)/26</t>
  </si>
  <si>
    <t>110,00</t>
  </si>
  <si>
    <t xml:space="preserve">Бударников А.А. </t>
  </si>
  <si>
    <t>Сафин Максим</t>
  </si>
  <si>
    <t>Сафин Максим (+МС)</t>
  </si>
  <si>
    <t>Open (24.06.1983)/31</t>
  </si>
  <si>
    <t>Калинин Михаил</t>
  </si>
  <si>
    <t>Калинин Михаил (+КМС)</t>
  </si>
  <si>
    <t>Open (22.07.1975)/39</t>
  </si>
  <si>
    <t>109,00</t>
  </si>
  <si>
    <t>Скиба Игорь</t>
  </si>
  <si>
    <t>Open (05.05.1987)/28</t>
  </si>
  <si>
    <t>106,00</t>
  </si>
  <si>
    <t>Куротченко Игорь</t>
  </si>
  <si>
    <t>Куротченко Игорь (+КМС)</t>
  </si>
  <si>
    <t>Master II (20.03.1962)/53</t>
  </si>
  <si>
    <t>109,40</t>
  </si>
  <si>
    <t>Чиликин Алексей</t>
  </si>
  <si>
    <t>Чиликин Алексей (+МСМК)</t>
  </si>
  <si>
    <t>Open (21.01.1978)/37</t>
  </si>
  <si>
    <t>122,80</t>
  </si>
  <si>
    <t>Регулярный Иван</t>
  </si>
  <si>
    <t>Регулярный Иван (+МС)</t>
  </si>
  <si>
    <t>Open (27.11.1984)/30</t>
  </si>
  <si>
    <t>117,00</t>
  </si>
  <si>
    <t>Часов Иван</t>
  </si>
  <si>
    <t>Часов Иван (+1)</t>
  </si>
  <si>
    <t>Open (17.07.1981)/33</t>
  </si>
  <si>
    <t>Игнатов Дмитрий</t>
  </si>
  <si>
    <t>Игнатов Дмитрий (+КМС)</t>
  </si>
  <si>
    <t>Open (29.03.1985)/30</t>
  </si>
  <si>
    <t>134,70</t>
  </si>
  <si>
    <t xml:space="preserve">Бит-Юхан А.Ш. </t>
  </si>
  <si>
    <t>Лукин Максим</t>
  </si>
  <si>
    <t>Лукин Максим (+2)</t>
  </si>
  <si>
    <t>Open (05.11.1982)/32</t>
  </si>
  <si>
    <t>128,20</t>
  </si>
  <si>
    <t xml:space="preserve">Балабаново/Калужская область </t>
  </si>
  <si>
    <t xml:space="preserve">Майхов П. </t>
  </si>
  <si>
    <t>89,7877</t>
  </si>
  <si>
    <t xml:space="preserve">48 </t>
  </si>
  <si>
    <t>71,6993</t>
  </si>
  <si>
    <t xml:space="preserve">52 </t>
  </si>
  <si>
    <t>62,5200</t>
  </si>
  <si>
    <t>66,1587</t>
  </si>
  <si>
    <t>89,1593</t>
  </si>
  <si>
    <t>80,7480</t>
  </si>
  <si>
    <t>78,7200</t>
  </si>
  <si>
    <t>123,7200</t>
  </si>
  <si>
    <t>114,7930</t>
  </si>
  <si>
    <t>107,8950</t>
  </si>
  <si>
    <t>104,1445</t>
  </si>
  <si>
    <t>100,6155</t>
  </si>
  <si>
    <t>93,8560</t>
  </si>
  <si>
    <t>93,6000</t>
  </si>
  <si>
    <t>91,8810</t>
  </si>
  <si>
    <t>84,2270</t>
  </si>
  <si>
    <t>125,8400</t>
  </si>
  <si>
    <t>120,0305</t>
  </si>
  <si>
    <t>115,3800</t>
  </si>
  <si>
    <t>111,3612</t>
  </si>
  <si>
    <t>109,8180</t>
  </si>
  <si>
    <t>105,9300</t>
  </si>
  <si>
    <t>105,6217</t>
  </si>
  <si>
    <t>99,8113</t>
  </si>
  <si>
    <t>99,5117</t>
  </si>
  <si>
    <t>97,8605</t>
  </si>
  <si>
    <t>95,9075</t>
  </si>
  <si>
    <t>95,5740</t>
  </si>
  <si>
    <t>91,9267</t>
  </si>
  <si>
    <t>90,5040</t>
  </si>
  <si>
    <t>88,0440</t>
  </si>
  <si>
    <t>87,3885</t>
  </si>
  <si>
    <t>85,7550</t>
  </si>
  <si>
    <t>76,5450</t>
  </si>
  <si>
    <t>74,0280</t>
  </si>
  <si>
    <t>70,9650</t>
  </si>
  <si>
    <t>103,3308</t>
  </si>
  <si>
    <t>102,2755</t>
  </si>
  <si>
    <t xml:space="preserve">Мастера II </t>
  </si>
  <si>
    <t>98,2240</t>
  </si>
  <si>
    <t>88,4250</t>
  </si>
  <si>
    <t>Илюхин Сергей</t>
  </si>
  <si>
    <t>Илюхин Сергей (+1)</t>
  </si>
  <si>
    <t>Open (19.09.1981)/33</t>
  </si>
  <si>
    <t>81,80</t>
  </si>
  <si>
    <t>Трофимов Дмитрий (+2)</t>
  </si>
  <si>
    <t>Романов Никита</t>
  </si>
  <si>
    <t>Романов Никита (+КМС)</t>
  </si>
  <si>
    <t>Junior (27.08.1991)/23</t>
  </si>
  <si>
    <t>247,5</t>
  </si>
  <si>
    <t>Булгарь Андрей</t>
  </si>
  <si>
    <t>Булгарь Андрей (+МС)</t>
  </si>
  <si>
    <t>Open (27.06.1988)/26</t>
  </si>
  <si>
    <t>98,30</t>
  </si>
  <si>
    <t xml:space="preserve">Рыбное/Рязанская область </t>
  </si>
  <si>
    <t>315,0</t>
  </si>
  <si>
    <t>322,5</t>
  </si>
  <si>
    <t>Славинский Иван</t>
  </si>
  <si>
    <t>Славинский Иван (+КМС)</t>
  </si>
  <si>
    <t>Open (08.12.1983)/31</t>
  </si>
  <si>
    <t>98,40</t>
  </si>
  <si>
    <t>257,5</t>
  </si>
  <si>
    <t xml:space="preserve">Никулин А. </t>
  </si>
  <si>
    <t>Хорьков Вячеслав</t>
  </si>
  <si>
    <t>Хорьков Вячеслав (+КМС)</t>
  </si>
  <si>
    <t>Open (25.10.1979)/35</t>
  </si>
  <si>
    <t xml:space="preserve">Зайцев В.Б. </t>
  </si>
  <si>
    <t>Таракин Александр</t>
  </si>
  <si>
    <t>Таракин Александр (+МС)</t>
  </si>
  <si>
    <t>Open (10.02.1986)/29</t>
  </si>
  <si>
    <t>101,00</t>
  </si>
  <si>
    <t xml:space="preserve">Таракина Н.С., Зверев </t>
  </si>
  <si>
    <t>Калинин Михаил (+1)</t>
  </si>
  <si>
    <t>Open (13.01.1981)/34</t>
  </si>
  <si>
    <t>164,40</t>
  </si>
  <si>
    <t>150,7995</t>
  </si>
  <si>
    <t>193,0635</t>
  </si>
  <si>
    <t>181,8600</t>
  </si>
  <si>
    <t>157,7445</t>
  </si>
  <si>
    <t>151,5570</t>
  </si>
  <si>
    <t>148,1480</t>
  </si>
  <si>
    <t>136,5000</t>
  </si>
  <si>
    <t>121,1220</t>
  </si>
  <si>
    <t>Мартинович Оксана</t>
  </si>
  <si>
    <t>Мартинович Оксана (+МСМК)</t>
  </si>
  <si>
    <t>Junior (20.05.1992)/22</t>
  </si>
  <si>
    <t>47,70</t>
  </si>
  <si>
    <t xml:space="preserve">Севостьянов Д.Ю. </t>
  </si>
  <si>
    <t>Архипова Анна</t>
  </si>
  <si>
    <t>Архипова Анна (+МСМК)</t>
  </si>
  <si>
    <t>Open (15.05.1985)/29</t>
  </si>
  <si>
    <t>52,00</t>
  </si>
  <si>
    <t xml:space="preserve">Нижегородская </t>
  </si>
  <si>
    <t xml:space="preserve">Саров/Нижегородская область </t>
  </si>
  <si>
    <t xml:space="preserve">Калиниченко В.А. </t>
  </si>
  <si>
    <t>Шитова Ангелина</t>
  </si>
  <si>
    <t>Шитова Ангелина (+КМС)</t>
  </si>
  <si>
    <t>Open (18.10.1985)/29</t>
  </si>
  <si>
    <t>74,80</t>
  </si>
  <si>
    <t>Мусаева Динара</t>
  </si>
  <si>
    <t>Мусаева Динара (+2)</t>
  </si>
  <si>
    <t>Open (20.07.1980)/34</t>
  </si>
  <si>
    <t>72,50</t>
  </si>
  <si>
    <t xml:space="preserve">Мусаев А. </t>
  </si>
  <si>
    <t>Хацкевич Алексей</t>
  </si>
  <si>
    <t>Хацкевич Алексей (+МС)</t>
  </si>
  <si>
    <t>Sub Junior II (24.01.1997)/18</t>
  </si>
  <si>
    <t>66,50</t>
  </si>
  <si>
    <t xml:space="preserve">Новосибирск/Новосибирская область </t>
  </si>
  <si>
    <t>Амиров Ильфат</t>
  </si>
  <si>
    <t>Амиров Ильфат (+КМС)</t>
  </si>
  <si>
    <t>Open (27.02.1990)/25</t>
  </si>
  <si>
    <t>72,80</t>
  </si>
  <si>
    <t>Веретюшкин Алексей</t>
  </si>
  <si>
    <t>Веретюшкин Алексей (+2)</t>
  </si>
  <si>
    <t>Open (10.05.1981)/34</t>
  </si>
  <si>
    <t>74,30</t>
  </si>
  <si>
    <t xml:space="preserve">Колистратов Д. </t>
  </si>
  <si>
    <t>Котельников Виктор</t>
  </si>
  <si>
    <t>Котельников Виктор (+КМС)</t>
  </si>
  <si>
    <t>Master II (01.10.1964)/50</t>
  </si>
  <si>
    <t xml:space="preserve">Самохвалов Д.И. </t>
  </si>
  <si>
    <t>Тухватшин Олег</t>
  </si>
  <si>
    <t>Тухватшин Олег (+1)</t>
  </si>
  <si>
    <t>Open (20.06.1982)/32</t>
  </si>
  <si>
    <t>79,30</t>
  </si>
  <si>
    <t xml:space="preserve">Михалев Д. </t>
  </si>
  <si>
    <t>Свирин Алексей</t>
  </si>
  <si>
    <t>Свирин Алексей (+КМС)</t>
  </si>
  <si>
    <t>Junior (29.10.1994)/20</t>
  </si>
  <si>
    <t>87,90</t>
  </si>
  <si>
    <t>Хватов Ярослав</t>
  </si>
  <si>
    <t>Хватов Ярослав (+КМС)</t>
  </si>
  <si>
    <t>Junior (09.03.1994)/21</t>
  </si>
  <si>
    <t>89,50</t>
  </si>
  <si>
    <t>Волишевский Василий</t>
  </si>
  <si>
    <t>Волишевский Василий (+1)</t>
  </si>
  <si>
    <t>Junior (28.03.1994)/21</t>
  </si>
  <si>
    <t>88,00</t>
  </si>
  <si>
    <t xml:space="preserve">Краснодарский </t>
  </si>
  <si>
    <t xml:space="preserve">Анапа/Краснодарский край </t>
  </si>
  <si>
    <t>Жигулин Александр</t>
  </si>
  <si>
    <t>Жигулин Александр (+МС)</t>
  </si>
  <si>
    <t>Open (27.12.1986)/28</t>
  </si>
  <si>
    <t xml:space="preserve">Плаксин А. </t>
  </si>
  <si>
    <t>Михалев Денис</t>
  </si>
  <si>
    <t>Михалев Денис (+МС)</t>
  </si>
  <si>
    <t>Open (31.10.1990)/24</t>
  </si>
  <si>
    <t xml:space="preserve">Михалева А. </t>
  </si>
  <si>
    <t>Кулиев Тахир (+КМС)</t>
  </si>
  <si>
    <t>Мелитонян Мито</t>
  </si>
  <si>
    <t>Мелитонян Мито (+1)</t>
  </si>
  <si>
    <t>Open (01.01.1980)/35</t>
  </si>
  <si>
    <t>Суслов Юрий</t>
  </si>
  <si>
    <t>Суслов Юрий (+МСМК)</t>
  </si>
  <si>
    <t>Open (15.05.1986)/28</t>
  </si>
  <si>
    <t>97,70</t>
  </si>
  <si>
    <t>277,5</t>
  </si>
  <si>
    <t xml:space="preserve">Решетников А. </t>
  </si>
  <si>
    <t>Жуков Николай</t>
  </si>
  <si>
    <t>Жуков Николай (+МС)</t>
  </si>
  <si>
    <t>Open (16.10.1978)/36</t>
  </si>
  <si>
    <t>92,00</t>
  </si>
  <si>
    <t>262,5</t>
  </si>
  <si>
    <t xml:space="preserve">Жуков В.Н. </t>
  </si>
  <si>
    <t>Калмыков Кирилл</t>
  </si>
  <si>
    <t>Калмыков Кирилл (+2)</t>
  </si>
  <si>
    <t>Sub Junior I (27.12.1999)/15</t>
  </si>
  <si>
    <t xml:space="preserve">Люберцы/Московская область </t>
  </si>
  <si>
    <t xml:space="preserve">Новиков Ю. </t>
  </si>
  <si>
    <t>Кулебякин Руслан</t>
  </si>
  <si>
    <t>Кулебякин Руслан (+МС)</t>
  </si>
  <si>
    <t>Open (26.02.1991)/24</t>
  </si>
  <si>
    <t>105,10</t>
  </si>
  <si>
    <t xml:space="preserve">Таганрог/Ростовская область </t>
  </si>
  <si>
    <t xml:space="preserve">Стародубский С.В. </t>
  </si>
  <si>
    <t>Игнатов Дмитрий (+МС)</t>
  </si>
  <si>
    <t>Лукин Максим (+1)</t>
  </si>
  <si>
    <t>172,9650</t>
  </si>
  <si>
    <t>174,5240</t>
  </si>
  <si>
    <t>123,7860</t>
  </si>
  <si>
    <t>97,1600</t>
  </si>
  <si>
    <t>100,7760</t>
  </si>
  <si>
    <t>156,0800</t>
  </si>
  <si>
    <t>138,9545</t>
  </si>
  <si>
    <t>134,4420</t>
  </si>
  <si>
    <t>122,7210</t>
  </si>
  <si>
    <t>172,0838</t>
  </si>
  <si>
    <t>170,4960</t>
  </si>
  <si>
    <t>159,0875</t>
  </si>
  <si>
    <t>156,9600</t>
  </si>
  <si>
    <t>155,9842</t>
  </si>
  <si>
    <t>155,3240</t>
  </si>
  <si>
    <t>153,8400</t>
  </si>
  <si>
    <t>148,9830</t>
  </si>
  <si>
    <t>140,7175</t>
  </si>
  <si>
    <t>136,4625</t>
  </si>
  <si>
    <t>121,6380</t>
  </si>
  <si>
    <t>111,5563</t>
  </si>
  <si>
    <t>109,1475</t>
  </si>
  <si>
    <t>107,5950</t>
  </si>
  <si>
    <t>134,4937</t>
  </si>
  <si>
    <t>Открытый Чемпионат России WRPF
cтановая тяга
 1 - 3 мая 2015г.</t>
  </si>
  <si>
    <t>Открытый Чемпионат России WRPF
жим штанги лежа 1 - 3 мая 2015г.</t>
  </si>
  <si>
    <t>Открытый Чемпионат России WRPF
пауэрлифтинг 1 - 3 мая 2015г.</t>
  </si>
  <si>
    <t>Открытый Чемпионат России WRPF
пауэрлифтинг с д.к. 1 - 3 мая 2015г.</t>
  </si>
  <si>
    <t>Открытый Чемпионат России WRPF
жим штанги лежа с д.к. 1 - 3 мая 2015г.</t>
  </si>
  <si>
    <t>Открытый Чемпионат России WRPF
cтановая тяга
 д.к. 1 - 3 мая 2015г.</t>
  </si>
  <si>
    <t>Шенкаренко Юлия</t>
  </si>
  <si>
    <t>OPEN (23.12.1986)/28</t>
  </si>
  <si>
    <t>63,30</t>
  </si>
  <si>
    <t xml:space="preserve">Днепропетровск/Днепропетровская </t>
  </si>
  <si>
    <t>445.00</t>
  </si>
  <si>
    <t xml:space="preserve">Прежин Н.В. </t>
  </si>
  <si>
    <t>Stewart Heidi</t>
  </si>
  <si>
    <t>OPEN (11.03.1983)/32</t>
  </si>
  <si>
    <t>67,50</t>
  </si>
  <si>
    <t xml:space="preserve">Australia </t>
  </si>
  <si>
    <t xml:space="preserve">Melbourne/ </t>
  </si>
  <si>
    <t>442.50</t>
  </si>
  <si>
    <t>Насонова Ольга</t>
  </si>
  <si>
    <t>OPEN (31.01.1996)/19</t>
  </si>
  <si>
    <t>64,50</t>
  </si>
  <si>
    <t>80,0</t>
  </si>
  <si>
    <t>420.00</t>
  </si>
  <si>
    <t xml:space="preserve">Медведева Ю.И. </t>
  </si>
  <si>
    <t>Khudayarov Anna</t>
  </si>
  <si>
    <t>OPEN (24.01.1988)/27</t>
  </si>
  <si>
    <t xml:space="preserve">Finland </t>
  </si>
  <si>
    <t xml:space="preserve">Poliisi/ </t>
  </si>
  <si>
    <t>610.00</t>
  </si>
  <si>
    <t>Амазян Давид</t>
  </si>
  <si>
    <t>OPEN (01.09.1988)/26</t>
  </si>
  <si>
    <t>79,70</t>
  </si>
  <si>
    <t xml:space="preserve">Фролово/Волгоградская область </t>
  </si>
  <si>
    <t>677.50</t>
  </si>
  <si>
    <t>Кобанов Артем</t>
  </si>
  <si>
    <t>OPEN (10.01.1992)/23</t>
  </si>
  <si>
    <t>108,20</t>
  </si>
  <si>
    <t>332,5</t>
  </si>
  <si>
    <t>222,5</t>
  </si>
  <si>
    <t>312,5</t>
  </si>
  <si>
    <t>327,5</t>
  </si>
  <si>
    <t>887.50</t>
  </si>
  <si>
    <t>Швецов Станислав</t>
  </si>
  <si>
    <t>OPEN (09.02.1988)/27</t>
  </si>
  <si>
    <t>121,20</t>
  </si>
  <si>
    <t>385,0</t>
  </si>
  <si>
    <t>335,0</t>
  </si>
  <si>
    <t>952.50</t>
  </si>
  <si>
    <t xml:space="preserve">Самост </t>
  </si>
  <si>
    <t>Howlett Wayne</t>
  </si>
  <si>
    <t>OPEN (01.01.1980)/35</t>
  </si>
  <si>
    <t>124,60</t>
  </si>
  <si>
    <t xml:space="preserve">Hobart/Tasmania </t>
  </si>
  <si>
    <t>865.00</t>
  </si>
  <si>
    <t>Омельченко Василий</t>
  </si>
  <si>
    <t>OPEN (22.10.1973)/41</t>
  </si>
  <si>
    <t>124,00</t>
  </si>
  <si>
    <t xml:space="preserve">Томская </t>
  </si>
  <si>
    <t xml:space="preserve">Парабель/Томская </t>
  </si>
  <si>
    <t>827.50</t>
  </si>
  <si>
    <t>Вартабедьян Юрий</t>
  </si>
  <si>
    <t>OPEN (21.11.1991)/23</t>
  </si>
  <si>
    <t>126,00</t>
  </si>
  <si>
    <t>330,0</t>
  </si>
  <si>
    <t>875.00</t>
  </si>
  <si>
    <t>Маланичев Андрей</t>
  </si>
  <si>
    <t>OPEN (10.01.1977)/38</t>
  </si>
  <si>
    <t>149,70</t>
  </si>
  <si>
    <t>420,0</t>
  </si>
  <si>
    <t>440,0</t>
  </si>
  <si>
    <t>380,0</t>
  </si>
  <si>
    <t>1070.00</t>
  </si>
  <si>
    <t>Апальков Ярослав</t>
  </si>
  <si>
    <t>OPEN (12.10.1993)/21</t>
  </si>
  <si>
    <t>168,90</t>
  </si>
  <si>
    <t>350,0</t>
  </si>
  <si>
    <t>895.00</t>
  </si>
  <si>
    <t>Абсолютный зачёт Wilks</t>
  </si>
  <si>
    <t xml:space="preserve">OPEN </t>
  </si>
  <si>
    <t>610,0</t>
  </si>
  <si>
    <t>539,9110</t>
  </si>
  <si>
    <t>445,0</t>
  </si>
  <si>
    <t>476,1945</t>
  </si>
  <si>
    <t>442,5</t>
  </si>
  <si>
    <t>451,6155</t>
  </si>
  <si>
    <t>443,1420</t>
  </si>
  <si>
    <t>1070,0</t>
  </si>
  <si>
    <t>592,2450</t>
  </si>
  <si>
    <t>952,5</t>
  </si>
  <si>
    <t>546,3540</t>
  </si>
  <si>
    <t>887,5</t>
  </si>
  <si>
    <t>525,0450</t>
  </si>
  <si>
    <t>875,0</t>
  </si>
  <si>
    <t>497,7875</t>
  </si>
  <si>
    <t>865,0</t>
  </si>
  <si>
    <t>493,2230</t>
  </si>
  <si>
    <t>895,0</t>
  </si>
  <si>
    <t>486,6115</t>
  </si>
  <si>
    <t>827,5</t>
  </si>
  <si>
    <t>472,3370</t>
  </si>
  <si>
    <t>677,5</t>
  </si>
  <si>
    <t>463,6133</t>
  </si>
  <si>
    <t>Абсолютный зачёт Сумма</t>
  </si>
  <si>
    <t>Фатюхина Светлана</t>
  </si>
  <si>
    <t>OPEN (10.05.1994)/20</t>
  </si>
  <si>
    <t>51,60</t>
  </si>
  <si>
    <t>67,5</t>
  </si>
  <si>
    <t xml:space="preserve">Любимов А.В. </t>
  </si>
  <si>
    <t>ВЕСОВАЯ КАТЕГОРИЯ   56</t>
  </si>
  <si>
    <t>Татьянина Юлия</t>
  </si>
  <si>
    <t>OPEN (13.02.1989)/26</t>
  </si>
  <si>
    <t>55,60</t>
  </si>
  <si>
    <t>Медведева Юлия</t>
  </si>
  <si>
    <t>OPEN (08.07.1979)/35</t>
  </si>
  <si>
    <t>74,50</t>
  </si>
  <si>
    <t xml:space="preserve">Шунских Ю.В. </t>
  </si>
  <si>
    <t>Милостной Станислав</t>
  </si>
  <si>
    <t>OPEN (19.12.1978)/36</t>
  </si>
  <si>
    <t>74,90</t>
  </si>
  <si>
    <t xml:space="preserve">Курская </t>
  </si>
  <si>
    <t xml:space="preserve">Курск/Курская область </t>
  </si>
  <si>
    <t>Еремашвили Роман</t>
  </si>
  <si>
    <t>OPEN (27.05.1981)/33</t>
  </si>
  <si>
    <t>71,50</t>
  </si>
  <si>
    <t xml:space="preserve">Беларусия </t>
  </si>
  <si>
    <t xml:space="preserve">Гродно/Гродненская </t>
  </si>
  <si>
    <t>Кахута Вадим</t>
  </si>
  <si>
    <t>OPEN (15.08.1981)/33</t>
  </si>
  <si>
    <t xml:space="preserve">Белгородская </t>
  </si>
  <si>
    <t xml:space="preserve">Старый Оскол/Белгородская область </t>
  </si>
  <si>
    <t>268,5</t>
  </si>
  <si>
    <t xml:space="preserve">Кахута В. </t>
  </si>
  <si>
    <t>Желтенко Евгений</t>
  </si>
  <si>
    <t>OPEN (21.04.1982)/33</t>
  </si>
  <si>
    <t>108,70</t>
  </si>
  <si>
    <t xml:space="preserve">Иркутская </t>
  </si>
  <si>
    <t xml:space="preserve">Иркутск/Иркутская область </t>
  </si>
  <si>
    <t>268,0</t>
  </si>
  <si>
    <t>Алибегов Мурад</t>
  </si>
  <si>
    <t>OPEN (09.02.1977)/38</t>
  </si>
  <si>
    <t>124,90</t>
  </si>
  <si>
    <t>Легарев Вадим</t>
  </si>
  <si>
    <t>OPEN (03.10.1977)/37</t>
  </si>
  <si>
    <t>124,80</t>
  </si>
  <si>
    <t>Колохин Павел</t>
  </si>
  <si>
    <t>OPEN (02.07.1984)/30</t>
  </si>
  <si>
    <t>130,40</t>
  </si>
  <si>
    <t xml:space="preserve">Суслов Н.Д. </t>
  </si>
  <si>
    <t>Головинский Дмитрий</t>
  </si>
  <si>
    <t>OPEN (29.07.1988)/26</t>
  </si>
  <si>
    <t>136,90</t>
  </si>
  <si>
    <t xml:space="preserve">Кривой Рог/Днепропетровская </t>
  </si>
  <si>
    <t>Орешков Роман</t>
  </si>
  <si>
    <t>OPEN (08.09.1984)/30</t>
  </si>
  <si>
    <t>130,00</t>
  </si>
  <si>
    <t xml:space="preserve">Дедовск/Московская область </t>
  </si>
  <si>
    <t>Климов Павел</t>
  </si>
  <si>
    <t>OPEN (27.03.1991)/24</t>
  </si>
  <si>
    <t>134,90</t>
  </si>
  <si>
    <t xml:space="preserve">Самарская </t>
  </si>
  <si>
    <t xml:space="preserve">Самара/Самарская область </t>
  </si>
  <si>
    <t>Резайкин Дмитрий</t>
  </si>
  <si>
    <t>OPEN (12.02.1984)/31</t>
  </si>
  <si>
    <t>130,20</t>
  </si>
  <si>
    <t xml:space="preserve">Сочи/Краснодарский край </t>
  </si>
  <si>
    <t xml:space="preserve">Седнев Д. </t>
  </si>
  <si>
    <t>Andrejs Murnieks</t>
  </si>
  <si>
    <t>OPEN (28.10.1980)/34</t>
  </si>
  <si>
    <t>140,90</t>
  </si>
  <si>
    <t xml:space="preserve">Латвия </t>
  </si>
  <si>
    <t xml:space="preserve">Рига/ </t>
  </si>
  <si>
    <t xml:space="preserve">Chaps R. </t>
  </si>
  <si>
    <t>Соловьев Владислав</t>
  </si>
  <si>
    <t>OPEN (09.01.1987)/28</t>
  </si>
  <si>
    <t>141,50</t>
  </si>
  <si>
    <t xml:space="preserve">Башкортостан </t>
  </si>
  <si>
    <t xml:space="preserve">Уфа/Башкортостан </t>
  </si>
  <si>
    <t xml:space="preserve">Охлюев Е.В. </t>
  </si>
  <si>
    <t>Кушхов Асланбек</t>
  </si>
  <si>
    <t>OPEN (16.05.1984)/30</t>
  </si>
  <si>
    <t>141,00</t>
  </si>
  <si>
    <t xml:space="preserve">Нарткала/Кабардино-Балкария </t>
  </si>
  <si>
    <t xml:space="preserve">56 </t>
  </si>
  <si>
    <t>124,2360</t>
  </si>
  <si>
    <t>87,7870</t>
  </si>
  <si>
    <t>165,9375</t>
  </si>
  <si>
    <t>164,4025</t>
  </si>
  <si>
    <t>162,5237</t>
  </si>
  <si>
    <t>162,2530</t>
  </si>
  <si>
    <t>159,5720</t>
  </si>
  <si>
    <t>158,3076</t>
  </si>
  <si>
    <t>156,9960</t>
  </si>
  <si>
    <t>156,3240</t>
  </si>
  <si>
    <t>153,4225</t>
  </si>
  <si>
    <t>151,2980</t>
  </si>
  <si>
    <t>148,9300</t>
  </si>
  <si>
    <t>148,2000</t>
  </si>
  <si>
    <t>147,0040</t>
  </si>
  <si>
    <t>145,1320</t>
  </si>
  <si>
    <t>Насонов Дмитрий</t>
  </si>
  <si>
    <t>OPEN (13.02.1992)/23</t>
  </si>
  <si>
    <t>317,5</t>
  </si>
  <si>
    <t>326,0</t>
  </si>
  <si>
    <t>Обухович Александр</t>
  </si>
  <si>
    <t>OPEN (16.08.1987)/27</t>
  </si>
  <si>
    <t>106,20</t>
  </si>
  <si>
    <t>392,5</t>
  </si>
  <si>
    <t xml:space="preserve">Жуков Н. </t>
  </si>
  <si>
    <t>Вишницкий Алексей</t>
  </si>
  <si>
    <t>OPEN (01.05.1981)/34</t>
  </si>
  <si>
    <t>108,80</t>
  </si>
  <si>
    <t xml:space="preserve">UKR, Kharkiv </t>
  </si>
  <si>
    <t>Андреев Стоян</t>
  </si>
  <si>
    <t>OPEN (09.09.1978)/36</t>
  </si>
  <si>
    <t>113,40</t>
  </si>
  <si>
    <t xml:space="preserve">Болгария </t>
  </si>
  <si>
    <t xml:space="preserve">Чепеларе/ </t>
  </si>
  <si>
    <t>Дараган Сергей</t>
  </si>
  <si>
    <t>OPEN (12.11.1978)/36</t>
  </si>
  <si>
    <t>120,70</t>
  </si>
  <si>
    <t>390,0</t>
  </si>
  <si>
    <t>Москвичёв Алексей</t>
  </si>
  <si>
    <t>OPEN (02.03.1982)/33</t>
  </si>
  <si>
    <t>110,80</t>
  </si>
  <si>
    <t>365,0</t>
  </si>
  <si>
    <t>375,0</t>
  </si>
  <si>
    <t>Алексеев Виталий</t>
  </si>
  <si>
    <t>OPEN (06.02.1988)/27</t>
  </si>
  <si>
    <t>115,00</t>
  </si>
  <si>
    <t>Константинов Константин</t>
  </si>
  <si>
    <t>OPEN (29.11.1978)/36</t>
  </si>
  <si>
    <t>138,60</t>
  </si>
  <si>
    <t>Лившиц Олег</t>
  </si>
  <si>
    <t>OPEN (03.10.1973)/41</t>
  </si>
  <si>
    <t>135,40</t>
  </si>
  <si>
    <t xml:space="preserve">Лосино-Петровский/Московская область </t>
  </si>
  <si>
    <t xml:space="preserve">Брехов Роман </t>
  </si>
  <si>
    <t>Крылов Виктор</t>
  </si>
  <si>
    <t>OPEN (20.05.1985)/29</t>
  </si>
  <si>
    <t>127,00</t>
  </si>
  <si>
    <t xml:space="preserve">Подольск/Московская область </t>
  </si>
  <si>
    <t>Кокляев Михаил</t>
  </si>
  <si>
    <t>OPEN (17.12.1978)/36</t>
  </si>
  <si>
    <t>160,20</t>
  </si>
  <si>
    <t xml:space="preserve">Челябинская </t>
  </si>
  <si>
    <t xml:space="preserve">Челябинск/Челябинская область </t>
  </si>
  <si>
    <t>395,0</t>
  </si>
  <si>
    <t>235,8610</t>
  </si>
  <si>
    <t>233,3200</t>
  </si>
  <si>
    <t>227,6640</t>
  </si>
  <si>
    <t>223,9380</t>
  </si>
  <si>
    <t>219,6823</t>
  </si>
  <si>
    <t>214,3280</t>
  </si>
  <si>
    <t>213,7590</t>
  </si>
  <si>
    <t>212,5800</t>
  </si>
  <si>
    <t>209,1960</t>
  </si>
  <si>
    <t>202,2120</t>
  </si>
  <si>
    <t>178,9515</t>
  </si>
  <si>
    <t>Открытый Чемпионат России WRPF-PRO
cтановая тяга
 1 - 3 мая 2015г.</t>
  </si>
  <si>
    <t>Открытый Чемпионат России WRPF-PRO
жим штанги лежа с 1 - 3 мая 2015г.</t>
  </si>
  <si>
    <t>Открытый Чемпионат России WRPF-PRO
пауэрлифтинг 1 - 3 мая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</si>
</sst>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0"/>
    <numFmt numFmtId="167" formatCode="000000"/>
    <numFmt numFmtId="168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sia_2015-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PF-PRO Тяга б_э"/>
      <sheetName val="WRPF-PRO Жим б_э"/>
      <sheetName val="WRPF-PRO ПЛ б_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1.37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7.25390625" style="31" bestFit="1" customWidth="1"/>
    <col min="7" max="10" width="5.625" style="31" bestFit="1" customWidth="1"/>
    <col min="11" max="11" width="7.875" style="31" bestFit="1" customWidth="1"/>
    <col min="12" max="12" width="8.625" style="31" bestFit="1" customWidth="1"/>
    <col min="13" max="13" width="15.00390625" style="31" bestFit="1" customWidth="1"/>
  </cols>
  <sheetData>
    <row r="1" spans="1:13" s="1" customFormat="1" ht="15" customHeight="1">
      <c r="A1" s="52" t="s">
        <v>1296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81.7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3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1237</v>
      </c>
      <c r="B6" s="32" t="s">
        <v>1238</v>
      </c>
      <c r="C6" s="32" t="s">
        <v>330</v>
      </c>
      <c r="D6" s="32" t="str">
        <f>"0,7235"</f>
        <v>0,7235</v>
      </c>
      <c r="E6" s="32" t="s">
        <v>656</v>
      </c>
      <c r="F6" s="32" t="s">
        <v>657</v>
      </c>
      <c r="G6" s="32" t="s">
        <v>104</v>
      </c>
      <c r="H6" s="32" t="s">
        <v>1239</v>
      </c>
      <c r="I6" s="33" t="s">
        <v>1240</v>
      </c>
      <c r="J6" s="32" t="s">
        <v>1240</v>
      </c>
      <c r="K6" s="32">
        <v>326</v>
      </c>
      <c r="L6" s="32" t="str">
        <f>"235,8610"</f>
        <v>235,8610</v>
      </c>
      <c r="M6" s="32" t="s">
        <v>541</v>
      </c>
    </row>
    <row r="8" spans="1:12" ht="15">
      <c r="A8" s="61" t="s">
        <v>145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2.75">
      <c r="A9" s="34" t="s">
        <v>1241</v>
      </c>
      <c r="B9" s="34" t="s">
        <v>1242</v>
      </c>
      <c r="C9" s="34" t="s">
        <v>1243</v>
      </c>
      <c r="D9" s="34" t="str">
        <f>"0,5952"</f>
        <v>0,5952</v>
      </c>
      <c r="E9" s="34" t="s">
        <v>18</v>
      </c>
      <c r="F9" s="34" t="s">
        <v>18</v>
      </c>
      <c r="G9" s="34" t="s">
        <v>1113</v>
      </c>
      <c r="H9" s="35" t="s">
        <v>416</v>
      </c>
      <c r="I9" s="34" t="s">
        <v>232</v>
      </c>
      <c r="J9" s="35" t="s">
        <v>1244</v>
      </c>
      <c r="K9" s="34">
        <v>382.5</v>
      </c>
      <c r="L9" s="34" t="str">
        <f>"227,6640"</f>
        <v>227,6640</v>
      </c>
      <c r="M9" s="34" t="s">
        <v>1245</v>
      </c>
    </row>
    <row r="10" spans="1:13" ht="12.75">
      <c r="A10" s="38" t="s">
        <v>1246</v>
      </c>
      <c r="B10" s="38" t="s">
        <v>1247</v>
      </c>
      <c r="C10" s="38" t="s">
        <v>1248</v>
      </c>
      <c r="D10" s="38" t="str">
        <f>"0,5905"</f>
        <v>0,5905</v>
      </c>
      <c r="E10" s="38" t="s">
        <v>488</v>
      </c>
      <c r="F10" s="38" t="s">
        <v>1249</v>
      </c>
      <c r="G10" s="38" t="s">
        <v>216</v>
      </c>
      <c r="H10" s="39" t="s">
        <v>1108</v>
      </c>
      <c r="I10" s="39" t="s">
        <v>1108</v>
      </c>
      <c r="J10" s="39"/>
      <c r="K10" s="38">
        <v>360</v>
      </c>
      <c r="L10" s="38" t="str">
        <f>"212,5800"</f>
        <v>212,5800</v>
      </c>
      <c r="M10" s="38" t="s">
        <v>54</v>
      </c>
    </row>
    <row r="12" spans="1:12" ht="15">
      <c r="A12" s="61" t="s">
        <v>172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3" ht="12.75">
      <c r="A13" s="34" t="s">
        <v>1250</v>
      </c>
      <c r="B13" s="34" t="s">
        <v>1251</v>
      </c>
      <c r="C13" s="34" t="s">
        <v>1252</v>
      </c>
      <c r="D13" s="34" t="str">
        <f>"0,5833"</f>
        <v>0,5833</v>
      </c>
      <c r="E13" s="34" t="s">
        <v>1253</v>
      </c>
      <c r="F13" s="34" t="s">
        <v>1254</v>
      </c>
      <c r="G13" s="34" t="s">
        <v>416</v>
      </c>
      <c r="H13" s="34" t="s">
        <v>1083</v>
      </c>
      <c r="I13" s="34" t="s">
        <v>1244</v>
      </c>
      <c r="J13" s="34" t="s">
        <v>437</v>
      </c>
      <c r="K13" s="34">
        <v>400</v>
      </c>
      <c r="L13" s="34" t="str">
        <f>"233,3200"</f>
        <v>233,3200</v>
      </c>
      <c r="M13" s="34" t="s">
        <v>54</v>
      </c>
    </row>
    <row r="14" spans="1:13" ht="12.75">
      <c r="A14" s="36" t="s">
        <v>1255</v>
      </c>
      <c r="B14" s="36" t="s">
        <v>1256</v>
      </c>
      <c r="C14" s="36" t="s">
        <v>1257</v>
      </c>
      <c r="D14" s="36" t="str">
        <f>"0,5742"</f>
        <v>0,5742</v>
      </c>
      <c r="E14" s="36" t="s">
        <v>18</v>
      </c>
      <c r="F14" s="36" t="s">
        <v>18</v>
      </c>
      <c r="G14" s="36" t="s">
        <v>416</v>
      </c>
      <c r="H14" s="37" t="s">
        <v>1258</v>
      </c>
      <c r="I14" s="36" t="s">
        <v>1258</v>
      </c>
      <c r="J14" s="37"/>
      <c r="K14" s="36">
        <v>390</v>
      </c>
      <c r="L14" s="36" t="str">
        <f>"223,9380"</f>
        <v>223,9380</v>
      </c>
      <c r="M14" s="36" t="s">
        <v>54</v>
      </c>
    </row>
    <row r="15" spans="1:13" ht="12.75">
      <c r="A15" s="36" t="s">
        <v>1259</v>
      </c>
      <c r="B15" s="36" t="s">
        <v>1260</v>
      </c>
      <c r="C15" s="36" t="s">
        <v>1261</v>
      </c>
      <c r="D15" s="36" t="str">
        <f>"0,5872"</f>
        <v>0,5872</v>
      </c>
      <c r="E15" s="36" t="s">
        <v>59</v>
      </c>
      <c r="F15" s="36" t="s">
        <v>60</v>
      </c>
      <c r="G15" s="36" t="s">
        <v>214</v>
      </c>
      <c r="H15" s="36" t="s">
        <v>1262</v>
      </c>
      <c r="I15" s="37" t="s">
        <v>1263</v>
      </c>
      <c r="J15" s="37" t="s">
        <v>1263</v>
      </c>
      <c r="K15" s="36">
        <v>365</v>
      </c>
      <c r="L15" s="36" t="str">
        <f>"214,3280"</f>
        <v>214,3280</v>
      </c>
      <c r="M15" s="36" t="s">
        <v>1086</v>
      </c>
    </row>
    <row r="16" spans="1:13" ht="12.75">
      <c r="A16" s="38" t="s">
        <v>1264</v>
      </c>
      <c r="B16" s="38" t="s">
        <v>1265</v>
      </c>
      <c r="C16" s="38" t="s">
        <v>1266</v>
      </c>
      <c r="D16" s="38" t="str">
        <f>"0,5811"</f>
        <v>0,5811</v>
      </c>
      <c r="E16" s="38" t="s">
        <v>488</v>
      </c>
      <c r="F16" s="38" t="s">
        <v>1189</v>
      </c>
      <c r="G16" s="38" t="s">
        <v>1101</v>
      </c>
      <c r="H16" s="38" t="s">
        <v>214</v>
      </c>
      <c r="I16" s="38" t="s">
        <v>216</v>
      </c>
      <c r="J16" s="39" t="s">
        <v>416</v>
      </c>
      <c r="K16" s="38">
        <v>360</v>
      </c>
      <c r="L16" s="38" t="str">
        <f>"209,1960"</f>
        <v>209,1960</v>
      </c>
      <c r="M16" s="38" t="s">
        <v>553</v>
      </c>
    </row>
    <row r="18" spans="1:12" ht="15">
      <c r="A18" s="61" t="s">
        <v>189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3" ht="12.75">
      <c r="A19" s="34" t="s">
        <v>1267</v>
      </c>
      <c r="B19" s="34" t="s">
        <v>1268</v>
      </c>
      <c r="C19" s="34" t="s">
        <v>1269</v>
      </c>
      <c r="D19" s="34" t="str">
        <f>"0,5597"</f>
        <v>0,5597</v>
      </c>
      <c r="E19" s="34" t="s">
        <v>1207</v>
      </c>
      <c r="F19" s="34" t="s">
        <v>1208</v>
      </c>
      <c r="G19" s="34" t="s">
        <v>1113</v>
      </c>
      <c r="H19" s="34" t="s">
        <v>1108</v>
      </c>
      <c r="I19" s="34" t="s">
        <v>1244</v>
      </c>
      <c r="J19" s="35"/>
      <c r="K19" s="34">
        <v>392.5</v>
      </c>
      <c r="L19" s="34" t="str">
        <f>"219,6823"</f>
        <v>219,6823</v>
      </c>
      <c r="M19" s="34" t="s">
        <v>54</v>
      </c>
    </row>
    <row r="20" spans="1:13" ht="12.75">
      <c r="A20" s="36" t="s">
        <v>1270</v>
      </c>
      <c r="B20" s="36" t="s">
        <v>1271</v>
      </c>
      <c r="C20" s="36" t="s">
        <v>1272</v>
      </c>
      <c r="D20" s="36" t="str">
        <f>"0,5617"</f>
        <v>0,5617</v>
      </c>
      <c r="E20" s="36" t="s">
        <v>204</v>
      </c>
      <c r="F20" s="36" t="s">
        <v>1273</v>
      </c>
      <c r="G20" s="36" t="s">
        <v>216</v>
      </c>
      <c r="H20" s="37" t="s">
        <v>1108</v>
      </c>
      <c r="I20" s="37" t="s">
        <v>1108</v>
      </c>
      <c r="J20" s="37"/>
      <c r="K20" s="36">
        <v>360</v>
      </c>
      <c r="L20" s="36" t="str">
        <f>"202,2120"</f>
        <v>202,2120</v>
      </c>
      <c r="M20" s="36" t="s">
        <v>1274</v>
      </c>
    </row>
    <row r="21" spans="1:13" ht="12.75">
      <c r="A21" s="38" t="s">
        <v>1275</v>
      </c>
      <c r="B21" s="38" t="s">
        <v>1276</v>
      </c>
      <c r="C21" s="38" t="s">
        <v>1277</v>
      </c>
      <c r="D21" s="38" t="str">
        <f>"0,5681"</f>
        <v>0,5681</v>
      </c>
      <c r="E21" s="38" t="s">
        <v>18</v>
      </c>
      <c r="F21" s="38" t="s">
        <v>1278</v>
      </c>
      <c r="G21" s="38" t="s">
        <v>157</v>
      </c>
      <c r="H21" s="38" t="s">
        <v>180</v>
      </c>
      <c r="I21" s="38" t="s">
        <v>891</v>
      </c>
      <c r="J21" s="39" t="s">
        <v>181</v>
      </c>
      <c r="K21" s="38">
        <v>315</v>
      </c>
      <c r="L21" s="38" t="str">
        <f>"178,9515"</f>
        <v>178,9515</v>
      </c>
      <c r="M21" s="38" t="s">
        <v>723</v>
      </c>
    </row>
    <row r="23" spans="1:12" ht="15">
      <c r="A23" s="61" t="s">
        <v>207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3" ht="12.75">
      <c r="A24" s="32" t="s">
        <v>1279</v>
      </c>
      <c r="B24" s="32" t="s">
        <v>1280</v>
      </c>
      <c r="C24" s="32" t="s">
        <v>1281</v>
      </c>
      <c r="D24" s="32" t="str">
        <f>"0,5481"</f>
        <v>0,5481</v>
      </c>
      <c r="E24" s="32" t="s">
        <v>1282</v>
      </c>
      <c r="F24" s="32" t="s">
        <v>1283</v>
      </c>
      <c r="G24" s="32" t="s">
        <v>1258</v>
      </c>
      <c r="H24" s="33" t="s">
        <v>1284</v>
      </c>
      <c r="I24" s="33" t="s">
        <v>1284</v>
      </c>
      <c r="J24" s="33"/>
      <c r="K24" s="32">
        <v>390</v>
      </c>
      <c r="L24" s="32" t="str">
        <f>"213,7590"</f>
        <v>213,7590</v>
      </c>
      <c r="M24" s="32" t="s">
        <v>54</v>
      </c>
    </row>
    <row r="27" spans="1:2" s="31" customFormat="1" ht="18">
      <c r="A27" s="41" t="s">
        <v>1115</v>
      </c>
      <c r="B27" s="41"/>
    </row>
    <row r="28" spans="1:2" s="31" customFormat="1" ht="15">
      <c r="A28" s="42" t="s">
        <v>234</v>
      </c>
      <c r="B28" s="42"/>
    </row>
    <row r="29" spans="1:2" s="31" customFormat="1" ht="14.25">
      <c r="A29" s="44" t="s">
        <v>1116</v>
      </c>
      <c r="B29" s="45"/>
    </row>
    <row r="30" spans="1:5" s="31" customFormat="1" ht="15">
      <c r="A30" s="46" t="s">
        <v>226</v>
      </c>
      <c r="B30" s="46" t="s">
        <v>227</v>
      </c>
      <c r="C30" s="46" t="s">
        <v>228</v>
      </c>
      <c r="D30" s="46" t="s">
        <v>229</v>
      </c>
      <c r="E30" s="46" t="s">
        <v>230</v>
      </c>
    </row>
    <row r="31" spans="1:5" s="31" customFormat="1" ht="12.75">
      <c r="A31" s="43" t="s">
        <v>1237</v>
      </c>
      <c r="B31" s="31" t="s">
        <v>1116</v>
      </c>
      <c r="C31" s="31" t="s">
        <v>239</v>
      </c>
      <c r="D31" s="31" t="s">
        <v>1240</v>
      </c>
      <c r="E31" s="47" t="s">
        <v>1285</v>
      </c>
    </row>
    <row r="32" spans="1:5" s="31" customFormat="1" ht="12.75">
      <c r="A32" s="43" t="s">
        <v>1250</v>
      </c>
      <c r="B32" s="31" t="s">
        <v>1116</v>
      </c>
      <c r="C32" s="31" t="s">
        <v>249</v>
      </c>
      <c r="D32" s="31" t="s">
        <v>437</v>
      </c>
      <c r="E32" s="47" t="s">
        <v>1286</v>
      </c>
    </row>
    <row r="33" spans="1:5" s="31" customFormat="1" ht="12.75">
      <c r="A33" s="43" t="s">
        <v>1241</v>
      </c>
      <c r="B33" s="31" t="s">
        <v>1116</v>
      </c>
      <c r="C33" s="31" t="s">
        <v>236</v>
      </c>
      <c r="D33" s="31" t="s">
        <v>232</v>
      </c>
      <c r="E33" s="47" t="s">
        <v>1287</v>
      </c>
    </row>
    <row r="34" spans="1:5" s="31" customFormat="1" ht="12.75">
      <c r="A34" s="43" t="s">
        <v>1255</v>
      </c>
      <c r="B34" s="31" t="s">
        <v>1116</v>
      </c>
      <c r="C34" s="31" t="s">
        <v>249</v>
      </c>
      <c r="D34" s="31" t="s">
        <v>1258</v>
      </c>
      <c r="E34" s="47" t="s">
        <v>1288</v>
      </c>
    </row>
    <row r="35" spans="1:5" s="31" customFormat="1" ht="12.75">
      <c r="A35" s="43" t="s">
        <v>1267</v>
      </c>
      <c r="B35" s="31" t="s">
        <v>1116</v>
      </c>
      <c r="C35" s="31" t="s">
        <v>263</v>
      </c>
      <c r="D35" s="31" t="s">
        <v>1244</v>
      </c>
      <c r="E35" s="47" t="s">
        <v>1289</v>
      </c>
    </row>
    <row r="36" spans="1:5" s="31" customFormat="1" ht="12.75">
      <c r="A36" s="43" t="s">
        <v>1259</v>
      </c>
      <c r="B36" s="31" t="s">
        <v>1116</v>
      </c>
      <c r="C36" s="31" t="s">
        <v>249</v>
      </c>
      <c r="D36" s="31" t="s">
        <v>1262</v>
      </c>
      <c r="E36" s="47" t="s">
        <v>1290</v>
      </c>
    </row>
    <row r="37" spans="1:5" s="31" customFormat="1" ht="12.75">
      <c r="A37" s="43" t="s">
        <v>1279</v>
      </c>
      <c r="B37" s="31" t="s">
        <v>1116</v>
      </c>
      <c r="C37" s="31" t="s">
        <v>256</v>
      </c>
      <c r="D37" s="31" t="s">
        <v>1258</v>
      </c>
      <c r="E37" s="47" t="s">
        <v>1291</v>
      </c>
    </row>
    <row r="38" spans="1:5" s="31" customFormat="1" ht="12.75">
      <c r="A38" s="43" t="s">
        <v>1246</v>
      </c>
      <c r="B38" s="31" t="s">
        <v>1116</v>
      </c>
      <c r="C38" s="31" t="s">
        <v>236</v>
      </c>
      <c r="D38" s="31" t="s">
        <v>216</v>
      </c>
      <c r="E38" s="47" t="s">
        <v>1292</v>
      </c>
    </row>
    <row r="39" spans="1:5" s="31" customFormat="1" ht="12.75">
      <c r="A39" s="43" t="s">
        <v>1264</v>
      </c>
      <c r="B39" s="31" t="s">
        <v>1116</v>
      </c>
      <c r="C39" s="31" t="s">
        <v>249</v>
      </c>
      <c r="D39" s="31" t="s">
        <v>216</v>
      </c>
      <c r="E39" s="47" t="s">
        <v>1293</v>
      </c>
    </row>
    <row r="40" spans="1:5" s="31" customFormat="1" ht="12.75">
      <c r="A40" s="43" t="s">
        <v>1270</v>
      </c>
      <c r="B40" s="31" t="s">
        <v>1116</v>
      </c>
      <c r="C40" s="31" t="s">
        <v>263</v>
      </c>
      <c r="D40" s="31" t="s">
        <v>216</v>
      </c>
      <c r="E40" s="47" t="s">
        <v>1294</v>
      </c>
    </row>
    <row r="41" spans="1:5" s="31" customFormat="1" ht="12.75">
      <c r="A41" s="43" t="s">
        <v>1275</v>
      </c>
      <c r="B41" s="31" t="s">
        <v>1116</v>
      </c>
      <c r="C41" s="31" t="s">
        <v>263</v>
      </c>
      <c r="D41" s="31" t="s">
        <v>891</v>
      </c>
      <c r="E41" s="47" t="s">
        <v>1295</v>
      </c>
    </row>
    <row r="43" spans="1:2" s="31" customFormat="1" ht="18">
      <c r="A43" s="41" t="s">
        <v>1140</v>
      </c>
      <c r="B43" s="41"/>
    </row>
    <row r="44" spans="1:2" s="31" customFormat="1" ht="15">
      <c r="A44" s="42" t="s">
        <v>234</v>
      </c>
      <c r="B44" s="42"/>
    </row>
    <row r="45" spans="1:2" s="31" customFormat="1" ht="14.25">
      <c r="A45" s="44" t="s">
        <v>1116</v>
      </c>
      <c r="B45" s="45"/>
    </row>
    <row r="46" spans="1:5" s="31" customFormat="1" ht="15">
      <c r="A46" s="46" t="s">
        <v>226</v>
      </c>
      <c r="B46" s="46" t="s">
        <v>227</v>
      </c>
      <c r="C46" s="46" t="s">
        <v>228</v>
      </c>
      <c r="D46" s="46" t="s">
        <v>229</v>
      </c>
      <c r="E46" s="46" t="s">
        <v>230</v>
      </c>
    </row>
    <row r="47" spans="1:5" s="31" customFormat="1" ht="12.75">
      <c r="A47" s="43" t="s">
        <v>1250</v>
      </c>
      <c r="B47" s="31" t="s">
        <v>1116</v>
      </c>
      <c r="C47" s="31" t="s">
        <v>249</v>
      </c>
      <c r="D47" s="47" t="s">
        <v>437</v>
      </c>
      <c r="E47" s="67" t="s">
        <v>1286</v>
      </c>
    </row>
    <row r="48" spans="1:5" s="31" customFormat="1" ht="12.75">
      <c r="A48" s="43" t="s">
        <v>1267</v>
      </c>
      <c r="B48" s="31" t="s">
        <v>1116</v>
      </c>
      <c r="C48" s="31" t="s">
        <v>263</v>
      </c>
      <c r="D48" s="47" t="s">
        <v>1244</v>
      </c>
      <c r="E48" s="67" t="s">
        <v>1289</v>
      </c>
    </row>
    <row r="49" spans="1:5" s="31" customFormat="1" ht="12.75">
      <c r="A49" s="43" t="s">
        <v>1255</v>
      </c>
      <c r="B49" s="31" t="s">
        <v>1116</v>
      </c>
      <c r="C49" s="31" t="s">
        <v>249</v>
      </c>
      <c r="D49" s="47" t="s">
        <v>1258</v>
      </c>
      <c r="E49" s="67" t="s">
        <v>1288</v>
      </c>
    </row>
    <row r="50" spans="1:5" s="31" customFormat="1" ht="12.75">
      <c r="A50" s="43" t="s">
        <v>1279</v>
      </c>
      <c r="B50" s="31" t="s">
        <v>1116</v>
      </c>
      <c r="C50" s="31" t="s">
        <v>256</v>
      </c>
      <c r="D50" s="47" t="s">
        <v>1258</v>
      </c>
      <c r="E50" s="67" t="s">
        <v>1291</v>
      </c>
    </row>
    <row r="51" spans="1:5" s="31" customFormat="1" ht="12.75">
      <c r="A51" s="43" t="s">
        <v>1241</v>
      </c>
      <c r="B51" s="31" t="s">
        <v>1116</v>
      </c>
      <c r="C51" s="31" t="s">
        <v>236</v>
      </c>
      <c r="D51" s="47" t="s">
        <v>232</v>
      </c>
      <c r="E51" s="67" t="s">
        <v>1287</v>
      </c>
    </row>
    <row r="52" spans="1:5" s="31" customFormat="1" ht="12.75">
      <c r="A52" s="43" t="s">
        <v>1259</v>
      </c>
      <c r="B52" s="31" t="s">
        <v>1116</v>
      </c>
      <c r="C52" s="31" t="s">
        <v>249</v>
      </c>
      <c r="D52" s="47" t="s">
        <v>1262</v>
      </c>
      <c r="E52" s="67" t="s">
        <v>1290</v>
      </c>
    </row>
    <row r="53" spans="1:5" s="31" customFormat="1" ht="12.75">
      <c r="A53" s="43" t="s">
        <v>1246</v>
      </c>
      <c r="B53" s="31" t="s">
        <v>1116</v>
      </c>
      <c r="C53" s="31" t="s">
        <v>236</v>
      </c>
      <c r="D53" s="47" t="s">
        <v>216</v>
      </c>
      <c r="E53" s="67" t="s">
        <v>1292</v>
      </c>
    </row>
    <row r="54" spans="1:5" s="31" customFormat="1" ht="12.75">
      <c r="A54" s="43" t="s">
        <v>1264</v>
      </c>
      <c r="B54" s="31" t="s">
        <v>1116</v>
      </c>
      <c r="C54" s="31" t="s">
        <v>249</v>
      </c>
      <c r="D54" s="47" t="s">
        <v>216</v>
      </c>
      <c r="E54" s="67" t="s">
        <v>1293</v>
      </c>
    </row>
    <row r="55" spans="1:5" s="31" customFormat="1" ht="12.75">
      <c r="A55" s="43" t="s">
        <v>1270</v>
      </c>
      <c r="B55" s="31" t="s">
        <v>1116</v>
      </c>
      <c r="C55" s="31" t="s">
        <v>263</v>
      </c>
      <c r="D55" s="47" t="s">
        <v>216</v>
      </c>
      <c r="E55" s="67" t="s">
        <v>1294</v>
      </c>
    </row>
    <row r="56" spans="1:5" s="31" customFormat="1" ht="12.75">
      <c r="A56" s="43" t="s">
        <v>1237</v>
      </c>
      <c r="B56" s="31" t="s">
        <v>1116</v>
      </c>
      <c r="C56" s="31" t="s">
        <v>239</v>
      </c>
      <c r="D56" s="47" t="s">
        <v>1240</v>
      </c>
      <c r="E56" s="67" t="s">
        <v>1285</v>
      </c>
    </row>
    <row r="57" spans="1:5" s="31" customFormat="1" ht="12.75">
      <c r="A57" s="43" t="s">
        <v>1275</v>
      </c>
      <c r="B57" s="31" t="s">
        <v>1116</v>
      </c>
      <c r="C57" s="31" t="s">
        <v>263</v>
      </c>
      <c r="D57" s="47" t="s">
        <v>891</v>
      </c>
      <c r="E57" s="67" t="s">
        <v>1295</v>
      </c>
    </row>
  </sheetData>
  <sheetProtection/>
  <mergeCells count="16">
    <mergeCell ref="M3:M4"/>
    <mergeCell ref="A5:L5"/>
    <mergeCell ref="A8:L8"/>
    <mergeCell ref="A12:L12"/>
    <mergeCell ref="A18:L18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4.625" style="4" bestFit="1" customWidth="1"/>
    <col min="2" max="2" width="21.375" style="1" bestFit="1" customWidth="1"/>
    <col min="3" max="3" width="12.25390625" style="1" bestFit="1" customWidth="1"/>
    <col min="4" max="4" width="8.375" style="1" bestFit="1" customWidth="1"/>
    <col min="5" max="5" width="22.75390625" style="5" bestFit="1" customWidth="1"/>
    <col min="6" max="6" width="34.625" style="5" bestFit="1" customWidth="1"/>
    <col min="7" max="18" width="5.625" style="1" bestFit="1" customWidth="1"/>
    <col min="19" max="19" width="7.875" style="4" bestFit="1" customWidth="1"/>
    <col min="20" max="20" width="8.625" style="1" bestFit="1" customWidth="1"/>
    <col min="21" max="21" width="16.375" style="5" bestFit="1" customWidth="1"/>
    <col min="22" max="16384" width="9.125" style="1" customWidth="1"/>
  </cols>
  <sheetData>
    <row r="1" spans="1:21" ht="15" customHeight="1">
      <c r="A1" s="52" t="s">
        <v>1298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48" t="s">
        <v>4</v>
      </c>
      <c r="T3" s="48" t="s">
        <v>7</v>
      </c>
      <c r="U3" s="50" t="s">
        <v>6</v>
      </c>
    </row>
    <row r="4" spans="1:21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9"/>
      <c r="T4" s="49"/>
      <c r="U4" s="51"/>
    </row>
    <row r="5" spans="1:20" ht="15">
      <c r="A5" s="64" t="s">
        <v>439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 ht="12.75">
      <c r="A6" s="10" t="s">
        <v>1044</v>
      </c>
      <c r="B6" s="11" t="s">
        <v>1045</v>
      </c>
      <c r="C6" s="11" t="s">
        <v>1046</v>
      </c>
      <c r="D6" s="11" t="str">
        <f>"1,0701"</f>
        <v>1,0701</v>
      </c>
      <c r="E6" s="12" t="s">
        <v>488</v>
      </c>
      <c r="F6" s="12" t="s">
        <v>1047</v>
      </c>
      <c r="G6" s="11" t="s">
        <v>118</v>
      </c>
      <c r="H6" s="11" t="s">
        <v>27</v>
      </c>
      <c r="I6" s="11" t="s">
        <v>20</v>
      </c>
      <c r="J6" s="13" t="s">
        <v>121</v>
      </c>
      <c r="K6" s="11" t="s">
        <v>331</v>
      </c>
      <c r="L6" s="11" t="s">
        <v>332</v>
      </c>
      <c r="M6" s="11" t="s">
        <v>664</v>
      </c>
      <c r="N6" s="11" t="s">
        <v>117</v>
      </c>
      <c r="O6" s="11" t="s">
        <v>35</v>
      </c>
      <c r="P6" s="11" t="s">
        <v>36</v>
      </c>
      <c r="Q6" s="11" t="s">
        <v>37</v>
      </c>
      <c r="R6" s="13" t="s">
        <v>40</v>
      </c>
      <c r="S6" s="10" t="s">
        <v>1048</v>
      </c>
      <c r="T6" s="11" t="str">
        <f>"476,1945"</f>
        <v>476,1945</v>
      </c>
      <c r="U6" s="12" t="s">
        <v>1049</v>
      </c>
    </row>
    <row r="7" spans="1:21" ht="12.75">
      <c r="A7" s="18" t="s">
        <v>1050</v>
      </c>
      <c r="B7" s="19" t="s">
        <v>1051</v>
      </c>
      <c r="C7" s="19" t="s">
        <v>1052</v>
      </c>
      <c r="D7" s="19" t="str">
        <f>"1,0206"</f>
        <v>1,0206</v>
      </c>
      <c r="E7" s="20" t="s">
        <v>1053</v>
      </c>
      <c r="F7" s="20" t="s">
        <v>1054</v>
      </c>
      <c r="G7" s="19" t="s">
        <v>163</v>
      </c>
      <c r="H7" s="19" t="s">
        <v>121</v>
      </c>
      <c r="I7" s="21" t="s">
        <v>21</v>
      </c>
      <c r="J7" s="21" t="s">
        <v>21</v>
      </c>
      <c r="K7" s="19" t="s">
        <v>671</v>
      </c>
      <c r="L7" s="21" t="s">
        <v>658</v>
      </c>
      <c r="M7" s="21" t="s">
        <v>658</v>
      </c>
      <c r="N7" s="21" t="s">
        <v>658</v>
      </c>
      <c r="O7" s="19" t="s">
        <v>35</v>
      </c>
      <c r="P7" s="19" t="s">
        <v>37</v>
      </c>
      <c r="Q7" s="21" t="s">
        <v>540</v>
      </c>
      <c r="R7" s="21"/>
      <c r="S7" s="18" t="s">
        <v>1055</v>
      </c>
      <c r="T7" s="19" t="str">
        <f>"451,6155"</f>
        <v>451,6155</v>
      </c>
      <c r="U7" s="20" t="s">
        <v>54</v>
      </c>
    </row>
    <row r="8" spans="1:21" ht="12.75">
      <c r="A8" s="14" t="s">
        <v>1056</v>
      </c>
      <c r="B8" s="15" t="s">
        <v>1057</v>
      </c>
      <c r="C8" s="15" t="s">
        <v>1058</v>
      </c>
      <c r="D8" s="15" t="str">
        <f>"1,0551"</f>
        <v>1,0551</v>
      </c>
      <c r="E8" s="16" t="s">
        <v>551</v>
      </c>
      <c r="F8" s="16" t="s">
        <v>944</v>
      </c>
      <c r="G8" s="17" t="s">
        <v>21</v>
      </c>
      <c r="H8" s="15" t="s">
        <v>21</v>
      </c>
      <c r="I8" s="15" t="s">
        <v>22</v>
      </c>
      <c r="J8" s="15" t="s">
        <v>36</v>
      </c>
      <c r="K8" s="15" t="s">
        <v>1059</v>
      </c>
      <c r="L8" s="17" t="s">
        <v>313</v>
      </c>
      <c r="M8" s="17"/>
      <c r="N8" s="17"/>
      <c r="O8" s="15" t="s">
        <v>20</v>
      </c>
      <c r="P8" s="15" t="s">
        <v>121</v>
      </c>
      <c r="Q8" s="17" t="s">
        <v>35</v>
      </c>
      <c r="R8" s="17"/>
      <c r="S8" s="14" t="s">
        <v>1060</v>
      </c>
      <c r="T8" s="15" t="str">
        <f>"443,1420"</f>
        <v>443,1420</v>
      </c>
      <c r="U8" s="16" t="s">
        <v>1061</v>
      </c>
    </row>
    <row r="10" spans="1:20" ht="15">
      <c r="A10" s="63" t="s">
        <v>68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1" ht="12.75">
      <c r="A11" s="6" t="s">
        <v>1062</v>
      </c>
      <c r="B11" s="7" t="s">
        <v>1063</v>
      </c>
      <c r="C11" s="7" t="s">
        <v>350</v>
      </c>
      <c r="D11" s="7" t="str">
        <f>"0,8851"</f>
        <v>0,8851</v>
      </c>
      <c r="E11" s="8" t="s">
        <v>1064</v>
      </c>
      <c r="F11" s="8" t="s">
        <v>1065</v>
      </c>
      <c r="G11" s="7" t="s">
        <v>42</v>
      </c>
      <c r="H11" s="7" t="s">
        <v>338</v>
      </c>
      <c r="I11" s="9" t="s">
        <v>178</v>
      </c>
      <c r="J11" s="7" t="s">
        <v>138</v>
      </c>
      <c r="K11" s="7" t="s">
        <v>325</v>
      </c>
      <c r="L11" s="9" t="s">
        <v>706</v>
      </c>
      <c r="M11" s="7" t="s">
        <v>706</v>
      </c>
      <c r="N11" s="9" t="s">
        <v>85</v>
      </c>
      <c r="O11" s="7" t="s">
        <v>41</v>
      </c>
      <c r="P11" s="7" t="s">
        <v>137</v>
      </c>
      <c r="Q11" s="7" t="s">
        <v>393</v>
      </c>
      <c r="R11" s="9" t="s">
        <v>178</v>
      </c>
      <c r="S11" s="6" t="s">
        <v>1066</v>
      </c>
      <c r="T11" s="7" t="str">
        <f>"539,9110"</f>
        <v>539,9110</v>
      </c>
      <c r="U11" s="8" t="s">
        <v>54</v>
      </c>
    </row>
    <row r="13" spans="1:20" ht="15">
      <c r="A13" s="63" t="s">
        <v>45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1" ht="12.75">
      <c r="A14" s="6" t="s">
        <v>1067</v>
      </c>
      <c r="B14" s="7" t="s">
        <v>1068</v>
      </c>
      <c r="C14" s="7" t="s">
        <v>1069</v>
      </c>
      <c r="D14" s="7" t="str">
        <f>"0,6843"</f>
        <v>0,6843</v>
      </c>
      <c r="E14" s="8" t="s">
        <v>110</v>
      </c>
      <c r="F14" s="8" t="s">
        <v>1070</v>
      </c>
      <c r="G14" s="7" t="s">
        <v>150</v>
      </c>
      <c r="H14" s="9" t="s">
        <v>73</v>
      </c>
      <c r="I14" s="9" t="s">
        <v>73</v>
      </c>
      <c r="J14" s="9" t="s">
        <v>73</v>
      </c>
      <c r="K14" s="7" t="s">
        <v>64</v>
      </c>
      <c r="L14" s="7" t="s">
        <v>65</v>
      </c>
      <c r="M14" s="7" t="s">
        <v>139</v>
      </c>
      <c r="N14" s="9"/>
      <c r="O14" s="7" t="s">
        <v>150</v>
      </c>
      <c r="P14" s="9" t="s">
        <v>388</v>
      </c>
      <c r="Q14" s="9" t="s">
        <v>388</v>
      </c>
      <c r="R14" s="9"/>
      <c r="S14" s="6" t="s">
        <v>1071</v>
      </c>
      <c r="T14" s="7" t="str">
        <f>"463,6133"</f>
        <v>463,6133</v>
      </c>
      <c r="U14" s="8" t="s">
        <v>29</v>
      </c>
    </row>
    <row r="16" spans="1:20" ht="15">
      <c r="A16" s="63" t="s">
        <v>145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1" ht="12.75">
      <c r="A17" s="6" t="s">
        <v>1072</v>
      </c>
      <c r="B17" s="7" t="s">
        <v>1073</v>
      </c>
      <c r="C17" s="7" t="s">
        <v>1074</v>
      </c>
      <c r="D17" s="7" t="str">
        <f>"0,5916"</f>
        <v>0,5916</v>
      </c>
      <c r="E17" s="8" t="s">
        <v>18</v>
      </c>
      <c r="F17" s="8" t="s">
        <v>19</v>
      </c>
      <c r="G17" s="9" t="s">
        <v>181</v>
      </c>
      <c r="H17" s="7" t="s">
        <v>181</v>
      </c>
      <c r="I17" s="7" t="s">
        <v>1075</v>
      </c>
      <c r="J17" s="9" t="s">
        <v>197</v>
      </c>
      <c r="K17" s="7" t="s">
        <v>319</v>
      </c>
      <c r="L17" s="7" t="s">
        <v>1076</v>
      </c>
      <c r="M17" s="7" t="s">
        <v>587</v>
      </c>
      <c r="N17" s="9" t="s">
        <v>137</v>
      </c>
      <c r="O17" s="7" t="s">
        <v>1077</v>
      </c>
      <c r="P17" s="7" t="s">
        <v>892</v>
      </c>
      <c r="Q17" s="9" t="s">
        <v>1078</v>
      </c>
      <c r="R17" s="7" t="s">
        <v>1078</v>
      </c>
      <c r="S17" s="6" t="s">
        <v>1079</v>
      </c>
      <c r="T17" s="7" t="str">
        <f>"525,0450"</f>
        <v>525,0450</v>
      </c>
      <c r="U17" s="8" t="s">
        <v>54</v>
      </c>
    </row>
    <row r="19" spans="1:20" ht="15">
      <c r="A19" s="63" t="s">
        <v>172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1" ht="12.75">
      <c r="A20" s="10" t="s">
        <v>1080</v>
      </c>
      <c r="B20" s="11" t="s">
        <v>1081</v>
      </c>
      <c r="C20" s="11" t="s">
        <v>1082</v>
      </c>
      <c r="D20" s="11" t="str">
        <f>"0,5736"</f>
        <v>0,5736</v>
      </c>
      <c r="E20" s="12" t="s">
        <v>110</v>
      </c>
      <c r="F20" s="12" t="s">
        <v>111</v>
      </c>
      <c r="G20" s="11" t="s">
        <v>416</v>
      </c>
      <c r="H20" s="13" t="s">
        <v>1083</v>
      </c>
      <c r="I20" s="13"/>
      <c r="J20" s="13"/>
      <c r="K20" s="11" t="s">
        <v>137</v>
      </c>
      <c r="L20" s="11" t="s">
        <v>178</v>
      </c>
      <c r="M20" s="11" t="s">
        <v>885</v>
      </c>
      <c r="N20" s="13"/>
      <c r="O20" s="11" t="s">
        <v>181</v>
      </c>
      <c r="P20" s="11" t="s">
        <v>1084</v>
      </c>
      <c r="Q20" s="13" t="s">
        <v>214</v>
      </c>
      <c r="R20" s="13"/>
      <c r="S20" s="10" t="s">
        <v>1085</v>
      </c>
      <c r="T20" s="11" t="str">
        <f>"546,3540"</f>
        <v>546,3540</v>
      </c>
      <c r="U20" s="12" t="s">
        <v>1086</v>
      </c>
    </row>
    <row r="21" spans="1:21" ht="12.75">
      <c r="A21" s="18" t="s">
        <v>1087</v>
      </c>
      <c r="B21" s="19" t="s">
        <v>1088</v>
      </c>
      <c r="C21" s="19" t="s">
        <v>1089</v>
      </c>
      <c r="D21" s="19" t="str">
        <f>"0,5702"</f>
        <v>0,5702</v>
      </c>
      <c r="E21" s="20" t="s">
        <v>1053</v>
      </c>
      <c r="F21" s="20" t="s">
        <v>1090</v>
      </c>
      <c r="G21" s="19" t="s">
        <v>181</v>
      </c>
      <c r="H21" s="19" t="s">
        <v>197</v>
      </c>
      <c r="I21" s="21" t="s">
        <v>216</v>
      </c>
      <c r="J21" s="21"/>
      <c r="K21" s="19" t="s">
        <v>40</v>
      </c>
      <c r="L21" s="19" t="s">
        <v>52</v>
      </c>
      <c r="M21" s="19" t="s">
        <v>215</v>
      </c>
      <c r="N21" s="21"/>
      <c r="O21" s="19" t="s">
        <v>103</v>
      </c>
      <c r="P21" s="19" t="s">
        <v>157</v>
      </c>
      <c r="Q21" s="21"/>
      <c r="R21" s="21"/>
      <c r="S21" s="18" t="s">
        <v>1091</v>
      </c>
      <c r="T21" s="19" t="str">
        <f>"493,2230"</f>
        <v>493,2230</v>
      </c>
      <c r="U21" s="20" t="s">
        <v>54</v>
      </c>
    </row>
    <row r="22" spans="1:21" ht="12.75">
      <c r="A22" s="14" t="s">
        <v>1092</v>
      </c>
      <c r="B22" s="15" t="s">
        <v>1093</v>
      </c>
      <c r="C22" s="15" t="s">
        <v>1094</v>
      </c>
      <c r="D22" s="15" t="str">
        <f>"0,5708"</f>
        <v>0,5708</v>
      </c>
      <c r="E22" s="16" t="s">
        <v>1095</v>
      </c>
      <c r="F22" s="16" t="s">
        <v>1096</v>
      </c>
      <c r="G22" s="15" t="s">
        <v>1084</v>
      </c>
      <c r="H22" s="17" t="s">
        <v>214</v>
      </c>
      <c r="I22" s="17"/>
      <c r="J22" s="17"/>
      <c r="K22" s="15" t="s">
        <v>52</v>
      </c>
      <c r="L22" s="15" t="s">
        <v>587</v>
      </c>
      <c r="M22" s="15" t="s">
        <v>338</v>
      </c>
      <c r="N22" s="17" t="s">
        <v>393</v>
      </c>
      <c r="O22" s="15" t="s">
        <v>52</v>
      </c>
      <c r="P22" s="15" t="s">
        <v>178</v>
      </c>
      <c r="Q22" s="15" t="s">
        <v>150</v>
      </c>
      <c r="R22" s="17" t="s">
        <v>1084</v>
      </c>
      <c r="S22" s="14" t="s">
        <v>1097</v>
      </c>
      <c r="T22" s="15" t="str">
        <f>"472,3370"</f>
        <v>472,3370</v>
      </c>
      <c r="U22" s="16" t="s">
        <v>54</v>
      </c>
    </row>
    <row r="24" spans="1:20" ht="15">
      <c r="A24" s="63" t="s">
        <v>189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1" ht="12.75">
      <c r="A25" s="6" t="s">
        <v>1098</v>
      </c>
      <c r="B25" s="7" t="s">
        <v>1099</v>
      </c>
      <c r="C25" s="7" t="s">
        <v>1100</v>
      </c>
      <c r="D25" s="7" t="str">
        <f>"0,5689"</f>
        <v>0,5689</v>
      </c>
      <c r="E25" s="8" t="s">
        <v>18</v>
      </c>
      <c r="F25" s="8" t="s">
        <v>18</v>
      </c>
      <c r="G25" s="7" t="s">
        <v>1101</v>
      </c>
      <c r="H25" s="7" t="s">
        <v>197</v>
      </c>
      <c r="I25" s="9"/>
      <c r="J25" s="9" t="s">
        <v>214</v>
      </c>
      <c r="K25" s="7" t="s">
        <v>52</v>
      </c>
      <c r="L25" s="7" t="s">
        <v>215</v>
      </c>
      <c r="M25" s="7" t="s">
        <v>338</v>
      </c>
      <c r="N25" s="7" t="s">
        <v>141</v>
      </c>
      <c r="O25" s="7" t="s">
        <v>157</v>
      </c>
      <c r="P25" s="9" t="s">
        <v>104</v>
      </c>
      <c r="Q25" s="9"/>
      <c r="R25" s="9"/>
      <c r="S25" s="6" t="s">
        <v>1102</v>
      </c>
      <c r="T25" s="7" t="str">
        <f>"497,7875"</f>
        <v>497,7875</v>
      </c>
      <c r="U25" s="8" t="s">
        <v>723</v>
      </c>
    </row>
    <row r="27" spans="1:20" ht="15">
      <c r="A27" s="63" t="s">
        <v>207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1" ht="12.75">
      <c r="A28" s="10" t="s">
        <v>1103</v>
      </c>
      <c r="B28" s="11" t="s">
        <v>1104</v>
      </c>
      <c r="C28" s="11" t="s">
        <v>1105</v>
      </c>
      <c r="D28" s="11" t="str">
        <f>"0,5535"</f>
        <v>0,5535</v>
      </c>
      <c r="E28" s="12" t="s">
        <v>18</v>
      </c>
      <c r="F28" s="12" t="s">
        <v>18</v>
      </c>
      <c r="G28" s="11" t="s">
        <v>437</v>
      </c>
      <c r="H28" s="11" t="s">
        <v>1106</v>
      </c>
      <c r="I28" s="11" t="s">
        <v>1107</v>
      </c>
      <c r="J28" s="13"/>
      <c r="K28" s="11" t="s">
        <v>52</v>
      </c>
      <c r="L28" s="11" t="s">
        <v>178</v>
      </c>
      <c r="M28" s="11" t="s">
        <v>76</v>
      </c>
      <c r="N28" s="13"/>
      <c r="O28" s="11" t="s">
        <v>216</v>
      </c>
      <c r="P28" s="11" t="s">
        <v>1108</v>
      </c>
      <c r="Q28" s="13"/>
      <c r="R28" s="13"/>
      <c r="S28" s="10" t="s">
        <v>1109</v>
      </c>
      <c r="T28" s="11" t="str">
        <f>"592,2450"</f>
        <v>592,2450</v>
      </c>
      <c r="U28" s="12" t="s">
        <v>54</v>
      </c>
    </row>
    <row r="29" spans="1:21" ht="12.75">
      <c r="A29" s="14" t="s">
        <v>1110</v>
      </c>
      <c r="B29" s="15" t="s">
        <v>1111</v>
      </c>
      <c r="C29" s="15" t="s">
        <v>1112</v>
      </c>
      <c r="D29" s="15" t="str">
        <f>"0,5437"</f>
        <v>0,5437</v>
      </c>
      <c r="E29" s="16" t="s">
        <v>488</v>
      </c>
      <c r="F29" s="16" t="s">
        <v>1047</v>
      </c>
      <c r="G29" s="15" t="s">
        <v>181</v>
      </c>
      <c r="H29" s="15" t="s">
        <v>197</v>
      </c>
      <c r="I29" s="17" t="s">
        <v>216</v>
      </c>
      <c r="J29" s="17" t="s">
        <v>216</v>
      </c>
      <c r="K29" s="15" t="s">
        <v>40</v>
      </c>
      <c r="L29" s="15" t="s">
        <v>52</v>
      </c>
      <c r="M29" s="15" t="s">
        <v>215</v>
      </c>
      <c r="N29" s="17" t="s">
        <v>137</v>
      </c>
      <c r="O29" s="15" t="s">
        <v>1101</v>
      </c>
      <c r="P29" s="17" t="s">
        <v>1113</v>
      </c>
      <c r="Q29" s="17" t="s">
        <v>1113</v>
      </c>
      <c r="R29" s="17"/>
      <c r="S29" s="14" t="s">
        <v>1114</v>
      </c>
      <c r="T29" s="15" t="str">
        <f>"486,6115"</f>
        <v>486,6115</v>
      </c>
      <c r="U29" s="16" t="s">
        <v>1049</v>
      </c>
    </row>
    <row r="31" ht="15">
      <c r="E31" s="22"/>
    </row>
    <row r="32" spans="1:2" ht="18">
      <c r="A32" s="23" t="s">
        <v>1115</v>
      </c>
      <c r="B32" s="24"/>
    </row>
    <row r="33" spans="1:2" ht="15">
      <c r="A33" s="25" t="s">
        <v>224</v>
      </c>
      <c r="B33" s="26"/>
    </row>
    <row r="34" spans="1:2" ht="14.25">
      <c r="A34" s="28" t="s">
        <v>1116</v>
      </c>
      <c r="B34" s="29"/>
    </row>
    <row r="35" spans="1:5" ht="15">
      <c r="A35" s="30" t="s">
        <v>226</v>
      </c>
      <c r="B35" s="30" t="s">
        <v>227</v>
      </c>
      <c r="C35" s="30" t="s">
        <v>228</v>
      </c>
      <c r="D35" s="30" t="s">
        <v>229</v>
      </c>
      <c r="E35" s="30" t="s">
        <v>230</v>
      </c>
    </row>
    <row r="36" spans="1:5" ht="12.75">
      <c r="A36" s="27" t="s">
        <v>1062</v>
      </c>
      <c r="B36" s="1" t="s">
        <v>1116</v>
      </c>
      <c r="C36" s="1" t="s">
        <v>246</v>
      </c>
      <c r="D36" s="1" t="s">
        <v>1117</v>
      </c>
      <c r="E36" s="4" t="s">
        <v>1118</v>
      </c>
    </row>
    <row r="37" spans="1:5" ht="12.75">
      <c r="A37" s="27" t="s">
        <v>1044</v>
      </c>
      <c r="B37" s="1" t="s">
        <v>1116</v>
      </c>
      <c r="C37" s="1" t="s">
        <v>629</v>
      </c>
      <c r="D37" s="1" t="s">
        <v>1119</v>
      </c>
      <c r="E37" s="4" t="s">
        <v>1120</v>
      </c>
    </row>
    <row r="38" spans="1:5" ht="12.75">
      <c r="A38" s="27" t="s">
        <v>1050</v>
      </c>
      <c r="B38" s="1" t="s">
        <v>1116</v>
      </c>
      <c r="C38" s="1" t="s">
        <v>629</v>
      </c>
      <c r="D38" s="1" t="s">
        <v>1121</v>
      </c>
      <c r="E38" s="4" t="s">
        <v>1122</v>
      </c>
    </row>
    <row r="39" spans="1:5" ht="12.75">
      <c r="A39" s="27" t="s">
        <v>1056</v>
      </c>
      <c r="B39" s="1" t="s">
        <v>1116</v>
      </c>
      <c r="C39" s="1" t="s">
        <v>629</v>
      </c>
      <c r="D39" s="1" t="s">
        <v>1106</v>
      </c>
      <c r="E39" s="4" t="s">
        <v>1123</v>
      </c>
    </row>
    <row r="42" spans="1:2" ht="15">
      <c r="A42" s="25" t="s">
        <v>234</v>
      </c>
      <c r="B42" s="26"/>
    </row>
    <row r="43" spans="1:2" ht="14.25">
      <c r="A43" s="28" t="s">
        <v>1116</v>
      </c>
      <c r="B43" s="29"/>
    </row>
    <row r="44" spans="1:5" ht="15">
      <c r="A44" s="30" t="s">
        <v>226</v>
      </c>
      <c r="B44" s="30" t="s">
        <v>227</v>
      </c>
      <c r="C44" s="30" t="s">
        <v>228</v>
      </c>
      <c r="D44" s="30" t="s">
        <v>229</v>
      </c>
      <c r="E44" s="30" t="s">
        <v>230</v>
      </c>
    </row>
    <row r="45" spans="1:5" ht="12.75">
      <c r="A45" s="27" t="s">
        <v>1103</v>
      </c>
      <c r="B45" s="1" t="s">
        <v>1116</v>
      </c>
      <c r="C45" s="1" t="s">
        <v>256</v>
      </c>
      <c r="D45" s="1" t="s">
        <v>1124</v>
      </c>
      <c r="E45" s="4" t="s">
        <v>1125</v>
      </c>
    </row>
    <row r="46" spans="1:5" ht="12.75">
      <c r="A46" s="27" t="s">
        <v>1080</v>
      </c>
      <c r="B46" s="1" t="s">
        <v>1116</v>
      </c>
      <c r="C46" s="1" t="s">
        <v>249</v>
      </c>
      <c r="D46" s="1" t="s">
        <v>1126</v>
      </c>
      <c r="E46" s="4" t="s">
        <v>1127</v>
      </c>
    </row>
    <row r="47" spans="1:5" ht="12.75">
      <c r="A47" s="27" t="s">
        <v>1072</v>
      </c>
      <c r="B47" s="1" t="s">
        <v>1116</v>
      </c>
      <c r="C47" s="1" t="s">
        <v>236</v>
      </c>
      <c r="D47" s="1" t="s">
        <v>1128</v>
      </c>
      <c r="E47" s="4" t="s">
        <v>1129</v>
      </c>
    </row>
    <row r="48" spans="1:5" ht="12.75">
      <c r="A48" s="27" t="s">
        <v>1098</v>
      </c>
      <c r="B48" s="1" t="s">
        <v>1116</v>
      </c>
      <c r="C48" s="1" t="s">
        <v>263</v>
      </c>
      <c r="D48" s="1" t="s">
        <v>1130</v>
      </c>
      <c r="E48" s="4" t="s">
        <v>1131</v>
      </c>
    </row>
    <row r="49" spans="1:5" ht="12.75">
      <c r="A49" s="27" t="s">
        <v>1087</v>
      </c>
      <c r="B49" s="1" t="s">
        <v>1116</v>
      </c>
      <c r="C49" s="1" t="s">
        <v>249</v>
      </c>
      <c r="D49" s="1" t="s">
        <v>1132</v>
      </c>
      <c r="E49" s="4" t="s">
        <v>1133</v>
      </c>
    </row>
    <row r="50" spans="1:5" ht="12.75">
      <c r="A50" s="27" t="s">
        <v>1110</v>
      </c>
      <c r="B50" s="1" t="s">
        <v>1116</v>
      </c>
      <c r="C50" s="1" t="s">
        <v>256</v>
      </c>
      <c r="D50" s="1" t="s">
        <v>1134</v>
      </c>
      <c r="E50" s="4" t="s">
        <v>1135</v>
      </c>
    </row>
    <row r="51" spans="1:5" ht="12.75">
      <c r="A51" s="27" t="s">
        <v>1092</v>
      </c>
      <c r="B51" s="1" t="s">
        <v>1116</v>
      </c>
      <c r="C51" s="1" t="s">
        <v>249</v>
      </c>
      <c r="D51" s="1" t="s">
        <v>1136</v>
      </c>
      <c r="E51" s="4" t="s">
        <v>1137</v>
      </c>
    </row>
    <row r="52" spans="1:5" ht="12.75">
      <c r="A52" s="27" t="s">
        <v>1067</v>
      </c>
      <c r="B52" s="1" t="s">
        <v>1116</v>
      </c>
      <c r="C52" s="1" t="s">
        <v>274</v>
      </c>
      <c r="D52" s="1" t="s">
        <v>1138</v>
      </c>
      <c r="E52" s="4" t="s">
        <v>1139</v>
      </c>
    </row>
    <row r="54" spans="1:2" ht="18">
      <c r="A54" s="23" t="s">
        <v>1140</v>
      </c>
      <c r="B54" s="24"/>
    </row>
    <row r="55" spans="1:2" ht="15">
      <c r="A55" s="25" t="s">
        <v>224</v>
      </c>
      <c r="B55" s="26"/>
    </row>
    <row r="56" spans="1:2" ht="14.25">
      <c r="A56" s="28" t="s">
        <v>1116</v>
      </c>
      <c r="B56" s="29"/>
    </row>
    <row r="57" spans="1:5" ht="15">
      <c r="A57" s="30" t="s">
        <v>226</v>
      </c>
      <c r="B57" s="30" t="s">
        <v>227</v>
      </c>
      <c r="C57" s="30" t="s">
        <v>228</v>
      </c>
      <c r="D57" s="30" t="s">
        <v>229</v>
      </c>
      <c r="E57" s="30" t="s">
        <v>230</v>
      </c>
    </row>
    <row r="58" spans="1:5" ht="12.75">
      <c r="A58" s="27" t="s">
        <v>1062</v>
      </c>
      <c r="B58" s="1" t="s">
        <v>1116</v>
      </c>
      <c r="C58" s="1" t="s">
        <v>246</v>
      </c>
      <c r="D58" s="65" t="s">
        <v>1117</v>
      </c>
      <c r="E58" s="66" t="s">
        <v>1118</v>
      </c>
    </row>
    <row r="59" spans="1:5" ht="12.75">
      <c r="A59" s="27" t="s">
        <v>1044</v>
      </c>
      <c r="B59" s="1" t="s">
        <v>1116</v>
      </c>
      <c r="C59" s="1" t="s">
        <v>629</v>
      </c>
      <c r="D59" s="65" t="s">
        <v>1119</v>
      </c>
      <c r="E59" s="66" t="s">
        <v>1120</v>
      </c>
    </row>
    <row r="60" spans="1:5" ht="12.75">
      <c r="A60" s="27" t="s">
        <v>1050</v>
      </c>
      <c r="B60" s="1" t="s">
        <v>1116</v>
      </c>
      <c r="C60" s="1" t="s">
        <v>629</v>
      </c>
      <c r="D60" s="65" t="s">
        <v>1121</v>
      </c>
      <c r="E60" s="66" t="s">
        <v>1122</v>
      </c>
    </row>
    <row r="61" spans="1:5" ht="12.75">
      <c r="A61" s="27" t="s">
        <v>1056</v>
      </c>
      <c r="B61" s="1" t="s">
        <v>1116</v>
      </c>
      <c r="C61" s="1" t="s">
        <v>629</v>
      </c>
      <c r="D61" s="65" t="s">
        <v>1106</v>
      </c>
      <c r="E61" s="66" t="s">
        <v>1123</v>
      </c>
    </row>
    <row r="62" ht="12.75">
      <c r="D62" s="65"/>
    </row>
    <row r="64" spans="1:2" ht="15">
      <c r="A64" s="25" t="s">
        <v>234</v>
      </c>
      <c r="B64" s="26"/>
    </row>
    <row r="65" spans="1:2" ht="14.25">
      <c r="A65" s="28" t="s">
        <v>1116</v>
      </c>
      <c r="B65" s="29"/>
    </row>
    <row r="66" spans="1:5" ht="15">
      <c r="A66" s="30" t="s">
        <v>226</v>
      </c>
      <c r="B66" s="30" t="s">
        <v>227</v>
      </c>
      <c r="C66" s="30" t="s">
        <v>228</v>
      </c>
      <c r="D66" s="30" t="s">
        <v>229</v>
      </c>
      <c r="E66" s="30" t="s">
        <v>230</v>
      </c>
    </row>
    <row r="67" spans="1:5" ht="12.75">
      <c r="A67" s="27" t="s">
        <v>1103</v>
      </c>
      <c r="B67" s="1" t="s">
        <v>1116</v>
      </c>
      <c r="C67" s="1" t="s">
        <v>256</v>
      </c>
      <c r="D67" s="65" t="s">
        <v>1124</v>
      </c>
      <c r="E67" s="66" t="s">
        <v>1125</v>
      </c>
    </row>
    <row r="68" spans="1:5" ht="12.75">
      <c r="A68" s="27" t="s">
        <v>1080</v>
      </c>
      <c r="B68" s="1" t="s">
        <v>1116</v>
      </c>
      <c r="C68" s="1" t="s">
        <v>249</v>
      </c>
      <c r="D68" s="65" t="s">
        <v>1126</v>
      </c>
      <c r="E68" s="66" t="s">
        <v>1127</v>
      </c>
    </row>
    <row r="69" spans="1:5" ht="12.75">
      <c r="A69" s="27" t="s">
        <v>1110</v>
      </c>
      <c r="B69" s="1" t="s">
        <v>1116</v>
      </c>
      <c r="C69" s="1" t="s">
        <v>256</v>
      </c>
      <c r="D69" s="65" t="s">
        <v>1134</v>
      </c>
      <c r="E69" s="66" t="s">
        <v>1135</v>
      </c>
    </row>
    <row r="70" spans="1:5" ht="12.75">
      <c r="A70" s="27" t="s">
        <v>1072</v>
      </c>
      <c r="B70" s="1" t="s">
        <v>1116</v>
      </c>
      <c r="C70" s="1" t="s">
        <v>236</v>
      </c>
      <c r="D70" s="65" t="s">
        <v>1128</v>
      </c>
      <c r="E70" s="66" t="s">
        <v>1129</v>
      </c>
    </row>
    <row r="71" spans="1:5" ht="12.75">
      <c r="A71" s="27" t="s">
        <v>1098</v>
      </c>
      <c r="B71" s="1" t="s">
        <v>1116</v>
      </c>
      <c r="C71" s="1" t="s">
        <v>263</v>
      </c>
      <c r="D71" s="65" t="s">
        <v>1130</v>
      </c>
      <c r="E71" s="66" t="s">
        <v>1131</v>
      </c>
    </row>
    <row r="72" spans="1:5" ht="12.75">
      <c r="A72" s="27" t="s">
        <v>1087</v>
      </c>
      <c r="B72" s="1" t="s">
        <v>1116</v>
      </c>
      <c r="C72" s="1" t="s">
        <v>249</v>
      </c>
      <c r="D72" s="65" t="s">
        <v>1132</v>
      </c>
      <c r="E72" s="66" t="s">
        <v>1133</v>
      </c>
    </row>
    <row r="73" spans="1:5" ht="12.75">
      <c r="A73" s="27" t="s">
        <v>1092</v>
      </c>
      <c r="B73" s="1" t="s">
        <v>1116</v>
      </c>
      <c r="C73" s="1" t="s">
        <v>249</v>
      </c>
      <c r="D73" s="65" t="s">
        <v>1136</v>
      </c>
      <c r="E73" s="66" t="s">
        <v>1137</v>
      </c>
    </row>
    <row r="74" spans="1:5" ht="12.75">
      <c r="A74" s="27" t="s">
        <v>1067</v>
      </c>
      <c r="B74" s="1" t="s">
        <v>1116</v>
      </c>
      <c r="C74" s="1" t="s">
        <v>274</v>
      </c>
      <c r="D74" s="65" t="s">
        <v>1138</v>
      </c>
      <c r="E74" s="66" t="s">
        <v>1139</v>
      </c>
    </row>
  </sheetData>
  <sheetProtection/>
  <mergeCells count="20">
    <mergeCell ref="A16:T16"/>
    <mergeCell ref="A19:T19"/>
    <mergeCell ref="A24:T24"/>
    <mergeCell ref="A27:T27"/>
    <mergeCell ref="S3:S4"/>
    <mergeCell ref="T3:T4"/>
    <mergeCell ref="U3:U4"/>
    <mergeCell ref="A5:T5"/>
    <mergeCell ref="A10:T10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7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1.37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4.625" style="31" bestFit="1" customWidth="1"/>
    <col min="7" max="10" width="5.625" style="31" bestFit="1" customWidth="1"/>
    <col min="11" max="11" width="7.875" style="31" bestFit="1" customWidth="1"/>
    <col min="12" max="12" width="8.625" style="31" bestFit="1" customWidth="1"/>
    <col min="13" max="13" width="15.00390625" style="31" bestFit="1" customWidth="1"/>
  </cols>
  <sheetData>
    <row r="1" spans="1:13" s="1" customFormat="1" ht="15" customHeight="1">
      <c r="A1" s="52" t="s">
        <v>1297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2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644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1141</v>
      </c>
      <c r="B6" s="32" t="s">
        <v>1142</v>
      </c>
      <c r="C6" s="32" t="s">
        <v>1143</v>
      </c>
      <c r="D6" s="32" t="str">
        <f>"1,2541"</f>
        <v>1,2541</v>
      </c>
      <c r="E6" s="32" t="s">
        <v>18</v>
      </c>
      <c r="F6" s="32" t="s">
        <v>19</v>
      </c>
      <c r="G6" s="32" t="s">
        <v>295</v>
      </c>
      <c r="H6" s="32" t="s">
        <v>299</v>
      </c>
      <c r="I6" s="32" t="s">
        <v>1144</v>
      </c>
      <c r="J6" s="32" t="s">
        <v>306</v>
      </c>
      <c r="K6" s="32">
        <v>70</v>
      </c>
      <c r="L6" s="32" t="str">
        <f>"87,7870"</f>
        <v>87,7870</v>
      </c>
      <c r="M6" s="32" t="s">
        <v>1145</v>
      </c>
    </row>
    <row r="8" spans="1:12" ht="15">
      <c r="A8" s="61" t="s">
        <v>1146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2.75">
      <c r="A9" s="32" t="s">
        <v>1147</v>
      </c>
      <c r="B9" s="32" t="s">
        <v>1148</v>
      </c>
      <c r="C9" s="32" t="s">
        <v>1149</v>
      </c>
      <c r="D9" s="32" t="str">
        <f>"1,1832"</f>
        <v>1,1832</v>
      </c>
      <c r="E9" s="32" t="s">
        <v>373</v>
      </c>
      <c r="F9" s="32" t="s">
        <v>387</v>
      </c>
      <c r="G9" s="32" t="s">
        <v>363</v>
      </c>
      <c r="H9" s="32" t="s">
        <v>332</v>
      </c>
      <c r="I9" s="32" t="s">
        <v>117</v>
      </c>
      <c r="J9" s="33" t="s">
        <v>119</v>
      </c>
      <c r="K9" s="32">
        <v>105</v>
      </c>
      <c r="L9" s="32" t="str">
        <f>"124,2360"</f>
        <v>124,2360</v>
      </c>
      <c r="M9" s="32" t="s">
        <v>54</v>
      </c>
    </row>
    <row r="11" spans="1:12" ht="15">
      <c r="A11" s="61" t="s">
        <v>30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3" ht="12.75">
      <c r="A12" s="32" t="s">
        <v>1150</v>
      </c>
      <c r="B12" s="32" t="s">
        <v>1151</v>
      </c>
      <c r="C12" s="32" t="s">
        <v>1152</v>
      </c>
      <c r="D12" s="32" t="str">
        <f>"0,9547"</f>
        <v>0,9547</v>
      </c>
      <c r="E12" s="32" t="s">
        <v>551</v>
      </c>
      <c r="F12" s="32" t="s">
        <v>944</v>
      </c>
      <c r="G12" s="33" t="s">
        <v>20</v>
      </c>
      <c r="H12" s="33" t="s">
        <v>20</v>
      </c>
      <c r="I12" s="33" t="s">
        <v>20</v>
      </c>
      <c r="J12" s="33" t="s">
        <v>20</v>
      </c>
      <c r="K12" s="32">
        <v>0</v>
      </c>
      <c r="L12" s="32" t="str">
        <f>"0,0000"</f>
        <v>0,0000</v>
      </c>
      <c r="M12" s="32" t="s">
        <v>1153</v>
      </c>
    </row>
    <row r="14" spans="1:12" ht="15">
      <c r="A14" s="61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3" ht="12.75">
      <c r="A15" s="34" t="s">
        <v>1154</v>
      </c>
      <c r="B15" s="34" t="s">
        <v>1155</v>
      </c>
      <c r="C15" s="34" t="s">
        <v>1156</v>
      </c>
      <c r="D15" s="34" t="str">
        <f>"0,7132"</f>
        <v>0,7132</v>
      </c>
      <c r="E15" s="34" t="s">
        <v>1157</v>
      </c>
      <c r="F15" s="34" t="s">
        <v>1158</v>
      </c>
      <c r="G15" s="34" t="s">
        <v>52</v>
      </c>
      <c r="H15" s="34" t="s">
        <v>587</v>
      </c>
      <c r="I15" s="35" t="s">
        <v>338</v>
      </c>
      <c r="J15" s="35" t="s">
        <v>338</v>
      </c>
      <c r="K15" s="34">
        <v>227.5</v>
      </c>
      <c r="L15" s="34" t="str">
        <f>"162,2530"</f>
        <v>162,2530</v>
      </c>
      <c r="M15" s="34" t="s">
        <v>54</v>
      </c>
    </row>
    <row r="16" spans="1:13" ht="12.75">
      <c r="A16" s="38" t="s">
        <v>1159</v>
      </c>
      <c r="B16" s="38" t="s">
        <v>1160</v>
      </c>
      <c r="C16" s="38" t="s">
        <v>1161</v>
      </c>
      <c r="D16" s="38" t="str">
        <f>"0,7375"</f>
        <v>0,7375</v>
      </c>
      <c r="E16" s="38" t="s">
        <v>1162</v>
      </c>
      <c r="F16" s="38" t="s">
        <v>1163</v>
      </c>
      <c r="G16" s="38" t="s">
        <v>41</v>
      </c>
      <c r="H16" s="38" t="s">
        <v>52</v>
      </c>
      <c r="I16" s="38" t="s">
        <v>215</v>
      </c>
      <c r="J16" s="39"/>
      <c r="K16" s="38">
        <v>225</v>
      </c>
      <c r="L16" s="38" t="str">
        <f>"165,9375"</f>
        <v>165,9375</v>
      </c>
      <c r="M16" s="38" t="s">
        <v>564</v>
      </c>
    </row>
    <row r="18" spans="1:12" ht="15">
      <c r="A18" s="61" t="s">
        <v>113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3" ht="12.75">
      <c r="A19" s="32" t="s">
        <v>1164</v>
      </c>
      <c r="B19" s="32" t="s">
        <v>1165</v>
      </c>
      <c r="C19" s="32" t="s">
        <v>769</v>
      </c>
      <c r="D19" s="32" t="str">
        <f>"0,6123"</f>
        <v>0,6123</v>
      </c>
      <c r="E19" s="32" t="s">
        <v>1166</v>
      </c>
      <c r="F19" s="32" t="s">
        <v>1167</v>
      </c>
      <c r="G19" s="32" t="s">
        <v>92</v>
      </c>
      <c r="H19" s="32" t="s">
        <v>1168</v>
      </c>
      <c r="I19" s="33" t="s">
        <v>102</v>
      </c>
      <c r="J19" s="33" t="s">
        <v>102</v>
      </c>
      <c r="K19" s="32">
        <v>268.5</v>
      </c>
      <c r="L19" s="32" t="str">
        <f>"164,4025"</f>
        <v>164,4025</v>
      </c>
      <c r="M19" s="32" t="s">
        <v>1169</v>
      </c>
    </row>
    <row r="21" spans="1:12" ht="15">
      <c r="A21" s="61" t="s">
        <v>145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3" ht="12.75">
      <c r="A22" s="32" t="s">
        <v>1170</v>
      </c>
      <c r="B22" s="32" t="s">
        <v>1171</v>
      </c>
      <c r="C22" s="32" t="s">
        <v>1172</v>
      </c>
      <c r="D22" s="32" t="str">
        <f>"0,5907"</f>
        <v>0,5907</v>
      </c>
      <c r="E22" s="32" t="s">
        <v>1173</v>
      </c>
      <c r="F22" s="32" t="s">
        <v>1174</v>
      </c>
      <c r="G22" s="32" t="s">
        <v>76</v>
      </c>
      <c r="H22" s="32" t="s">
        <v>897</v>
      </c>
      <c r="I22" s="32" t="s">
        <v>999</v>
      </c>
      <c r="J22" s="32" t="s">
        <v>1175</v>
      </c>
      <c r="K22" s="32">
        <v>268</v>
      </c>
      <c r="L22" s="32" t="str">
        <f>"158,3076"</f>
        <v>158,3076</v>
      </c>
      <c r="M22" s="32" t="s">
        <v>54</v>
      </c>
    </row>
    <row r="24" spans="1:12" ht="15">
      <c r="A24" s="61" t="s">
        <v>172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3" ht="12.75">
      <c r="A25" s="34" t="s">
        <v>1176</v>
      </c>
      <c r="B25" s="34" t="s">
        <v>1177</v>
      </c>
      <c r="C25" s="34" t="s">
        <v>1178</v>
      </c>
      <c r="D25" s="34" t="str">
        <f>"0,5699"</f>
        <v>0,5699</v>
      </c>
      <c r="E25" s="34" t="s">
        <v>18</v>
      </c>
      <c r="F25" s="34" t="s">
        <v>18</v>
      </c>
      <c r="G25" s="34" t="s">
        <v>92</v>
      </c>
      <c r="H25" s="34" t="s">
        <v>73</v>
      </c>
      <c r="I25" s="35" t="s">
        <v>74</v>
      </c>
      <c r="J25" s="34" t="s">
        <v>74</v>
      </c>
      <c r="K25" s="34">
        <v>280</v>
      </c>
      <c r="L25" s="34" t="str">
        <f>"159,5720"</f>
        <v>159,5720</v>
      </c>
      <c r="M25" s="34" t="s">
        <v>54</v>
      </c>
    </row>
    <row r="26" spans="1:13" ht="12.75">
      <c r="A26" s="38" t="s">
        <v>1179</v>
      </c>
      <c r="B26" s="38" t="s">
        <v>1180</v>
      </c>
      <c r="C26" s="38" t="s">
        <v>1181</v>
      </c>
      <c r="D26" s="38" t="str">
        <f>"0,5700"</f>
        <v>0,5700</v>
      </c>
      <c r="E26" s="38" t="s">
        <v>379</v>
      </c>
      <c r="F26" s="38" t="s">
        <v>546</v>
      </c>
      <c r="G26" s="38" t="s">
        <v>76</v>
      </c>
      <c r="H26" s="38" t="s">
        <v>150</v>
      </c>
      <c r="I26" s="39" t="s">
        <v>93</v>
      </c>
      <c r="J26" s="39" t="s">
        <v>93</v>
      </c>
      <c r="K26" s="38">
        <v>260</v>
      </c>
      <c r="L26" s="38" t="str">
        <f>"148,2000"</f>
        <v>148,2000</v>
      </c>
      <c r="M26" s="38" t="s">
        <v>54</v>
      </c>
    </row>
    <row r="28" spans="1:12" ht="15">
      <c r="A28" s="61" t="s">
        <v>189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3" ht="12.75">
      <c r="A29" s="34" t="s">
        <v>1182</v>
      </c>
      <c r="B29" s="34" t="s">
        <v>1183</v>
      </c>
      <c r="C29" s="34" t="s">
        <v>1184</v>
      </c>
      <c r="D29" s="34" t="str">
        <f>"0,5653"</f>
        <v>0,5653</v>
      </c>
      <c r="E29" s="34" t="s">
        <v>379</v>
      </c>
      <c r="F29" s="34" t="s">
        <v>546</v>
      </c>
      <c r="G29" s="34" t="s">
        <v>102</v>
      </c>
      <c r="H29" s="34" t="s">
        <v>74</v>
      </c>
      <c r="I29" s="35" t="s">
        <v>78</v>
      </c>
      <c r="J29" s="34" t="s">
        <v>78</v>
      </c>
      <c r="K29" s="34">
        <v>287.5</v>
      </c>
      <c r="L29" s="34" t="str">
        <f>"162,5237"</f>
        <v>162,5237</v>
      </c>
      <c r="M29" s="34" t="s">
        <v>1185</v>
      </c>
    </row>
    <row r="30" spans="1:13" ht="12.75">
      <c r="A30" s="36" t="s">
        <v>1186</v>
      </c>
      <c r="B30" s="36" t="s">
        <v>1187</v>
      </c>
      <c r="C30" s="36" t="s">
        <v>1188</v>
      </c>
      <c r="D30" s="36" t="str">
        <f>"0,5607"</f>
        <v>0,5607</v>
      </c>
      <c r="E30" s="36" t="s">
        <v>488</v>
      </c>
      <c r="F30" s="36" t="s">
        <v>1189</v>
      </c>
      <c r="G30" s="36" t="s">
        <v>137</v>
      </c>
      <c r="H30" s="36" t="s">
        <v>150</v>
      </c>
      <c r="I30" s="36" t="s">
        <v>74</v>
      </c>
      <c r="J30" s="37" t="s">
        <v>75</v>
      </c>
      <c r="K30" s="36">
        <v>280</v>
      </c>
      <c r="L30" s="36" t="str">
        <f>"156,9960"</f>
        <v>156,9960</v>
      </c>
      <c r="M30" s="36" t="s">
        <v>54</v>
      </c>
    </row>
    <row r="31" spans="1:13" ht="12.75">
      <c r="A31" s="36" t="s">
        <v>1190</v>
      </c>
      <c r="B31" s="36" t="s">
        <v>1191</v>
      </c>
      <c r="C31" s="36" t="s">
        <v>1192</v>
      </c>
      <c r="D31" s="36" t="str">
        <f>"0,5656"</f>
        <v>0,5656</v>
      </c>
      <c r="E31" s="36" t="s">
        <v>204</v>
      </c>
      <c r="F31" s="36" t="s">
        <v>1193</v>
      </c>
      <c r="G31" s="36" t="s">
        <v>76</v>
      </c>
      <c r="H31" s="36" t="s">
        <v>150</v>
      </c>
      <c r="I31" s="36" t="s">
        <v>77</v>
      </c>
      <c r="J31" s="37" t="s">
        <v>102</v>
      </c>
      <c r="K31" s="36">
        <v>267.5</v>
      </c>
      <c r="L31" s="36" t="str">
        <f>"151,2980"</f>
        <v>151,2980</v>
      </c>
      <c r="M31" s="36" t="s">
        <v>54</v>
      </c>
    </row>
    <row r="32" spans="1:13" ht="12.75">
      <c r="A32" s="36" t="s">
        <v>1194</v>
      </c>
      <c r="B32" s="36" t="s">
        <v>1195</v>
      </c>
      <c r="C32" s="36" t="s">
        <v>1196</v>
      </c>
      <c r="D32" s="36" t="str">
        <f>"0,5620"</f>
        <v>0,5620</v>
      </c>
      <c r="E32" s="36" t="s">
        <v>1197</v>
      </c>
      <c r="F32" s="36" t="s">
        <v>1198</v>
      </c>
      <c r="G32" s="36" t="s">
        <v>137</v>
      </c>
      <c r="H32" s="36" t="s">
        <v>76</v>
      </c>
      <c r="I32" s="36" t="s">
        <v>93</v>
      </c>
      <c r="J32" s="37" t="s">
        <v>102</v>
      </c>
      <c r="K32" s="36">
        <v>265</v>
      </c>
      <c r="L32" s="36" t="str">
        <f>"148,9300"</f>
        <v>148,9300</v>
      </c>
      <c r="M32" s="36" t="s">
        <v>553</v>
      </c>
    </row>
    <row r="33" spans="1:13" ht="12.75">
      <c r="A33" s="38" t="s">
        <v>1199</v>
      </c>
      <c r="B33" s="38" t="s">
        <v>1200</v>
      </c>
      <c r="C33" s="38" t="s">
        <v>1201</v>
      </c>
      <c r="D33" s="38" t="str">
        <f>"0,5654"</f>
        <v>0,5654</v>
      </c>
      <c r="E33" s="38" t="s">
        <v>975</v>
      </c>
      <c r="F33" s="38" t="s">
        <v>1202</v>
      </c>
      <c r="G33" s="38" t="s">
        <v>76</v>
      </c>
      <c r="H33" s="38" t="s">
        <v>150</v>
      </c>
      <c r="I33" s="39" t="s">
        <v>93</v>
      </c>
      <c r="J33" s="39"/>
      <c r="K33" s="38">
        <v>260</v>
      </c>
      <c r="L33" s="38" t="str">
        <f>"147,0040"</f>
        <v>147,0040</v>
      </c>
      <c r="M33" s="38" t="s">
        <v>1203</v>
      </c>
    </row>
    <row r="35" spans="1:12" ht="15">
      <c r="A35" s="61" t="s">
        <v>207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3" ht="12.75">
      <c r="A36" s="34" t="s">
        <v>1204</v>
      </c>
      <c r="B36" s="34" t="s">
        <v>1205</v>
      </c>
      <c r="C36" s="34" t="s">
        <v>1206</v>
      </c>
      <c r="D36" s="34" t="str">
        <f>"0,5583"</f>
        <v>0,5583</v>
      </c>
      <c r="E36" s="34" t="s">
        <v>1207</v>
      </c>
      <c r="F36" s="34" t="s">
        <v>1208</v>
      </c>
      <c r="G36" s="34" t="s">
        <v>74</v>
      </c>
      <c r="H36" s="35" t="s">
        <v>75</v>
      </c>
      <c r="I36" s="35" t="s">
        <v>75</v>
      </c>
      <c r="J36" s="35" t="s">
        <v>75</v>
      </c>
      <c r="K36" s="34">
        <v>280</v>
      </c>
      <c r="L36" s="34" t="str">
        <f>"156,3240"</f>
        <v>156,3240</v>
      </c>
      <c r="M36" s="34" t="s">
        <v>1209</v>
      </c>
    </row>
    <row r="37" spans="1:13" ht="12.75">
      <c r="A37" s="36" t="s">
        <v>1210</v>
      </c>
      <c r="B37" s="36" t="s">
        <v>1211</v>
      </c>
      <c r="C37" s="36" t="s">
        <v>1212</v>
      </c>
      <c r="D37" s="36" t="str">
        <f>"0,5579"</f>
        <v>0,5579</v>
      </c>
      <c r="E37" s="36" t="s">
        <v>1213</v>
      </c>
      <c r="F37" s="36" t="s">
        <v>1214</v>
      </c>
      <c r="G37" s="36" t="s">
        <v>150</v>
      </c>
      <c r="H37" s="36" t="s">
        <v>102</v>
      </c>
      <c r="I37" s="37" t="s">
        <v>73</v>
      </c>
      <c r="J37" s="36" t="s">
        <v>73</v>
      </c>
      <c r="K37" s="36">
        <v>275</v>
      </c>
      <c r="L37" s="36" t="str">
        <f>"153,4225"</f>
        <v>153,4225</v>
      </c>
      <c r="M37" s="36" t="s">
        <v>1215</v>
      </c>
    </row>
    <row r="38" spans="1:13" ht="12.75">
      <c r="A38" s="38" t="s">
        <v>1216</v>
      </c>
      <c r="B38" s="38" t="s">
        <v>1217</v>
      </c>
      <c r="C38" s="38" t="s">
        <v>1218</v>
      </c>
      <c r="D38" s="38" t="str">
        <f>"0,5582"</f>
        <v>0,5582</v>
      </c>
      <c r="E38" s="38" t="s">
        <v>514</v>
      </c>
      <c r="F38" s="38" t="s">
        <v>1219</v>
      </c>
      <c r="G38" s="38" t="s">
        <v>150</v>
      </c>
      <c r="H38" s="39" t="s">
        <v>103</v>
      </c>
      <c r="I38" s="39" t="s">
        <v>103</v>
      </c>
      <c r="J38" s="39" t="s">
        <v>103</v>
      </c>
      <c r="K38" s="38">
        <v>260</v>
      </c>
      <c r="L38" s="38" t="str">
        <f>"145,1320"</f>
        <v>145,1320</v>
      </c>
      <c r="M38" s="38" t="s">
        <v>516</v>
      </c>
    </row>
    <row r="41" spans="1:2" ht="18">
      <c r="A41" s="41" t="s">
        <v>1115</v>
      </c>
      <c r="B41" s="41"/>
    </row>
    <row r="42" spans="1:2" s="31" customFormat="1" ht="15">
      <c r="A42" s="42" t="s">
        <v>224</v>
      </c>
      <c r="B42" s="42"/>
    </row>
    <row r="43" spans="1:2" s="31" customFormat="1" ht="14.25">
      <c r="A43" s="44" t="s">
        <v>1116</v>
      </c>
      <c r="B43" s="45"/>
    </row>
    <row r="44" spans="1:5" s="31" customFormat="1" ht="15">
      <c r="A44" s="46" t="s">
        <v>226</v>
      </c>
      <c r="B44" s="46" t="s">
        <v>227</v>
      </c>
      <c r="C44" s="46" t="s">
        <v>228</v>
      </c>
      <c r="D44" s="46" t="s">
        <v>229</v>
      </c>
      <c r="E44" s="46" t="s">
        <v>230</v>
      </c>
    </row>
    <row r="45" spans="1:5" s="31" customFormat="1" ht="12.75">
      <c r="A45" s="43" t="s">
        <v>1147</v>
      </c>
      <c r="B45" s="31" t="s">
        <v>1116</v>
      </c>
      <c r="C45" s="31" t="s">
        <v>1220</v>
      </c>
      <c r="D45" s="31" t="s">
        <v>117</v>
      </c>
      <c r="E45" s="47" t="s">
        <v>1221</v>
      </c>
    </row>
    <row r="46" spans="1:5" s="31" customFormat="1" ht="12.75">
      <c r="A46" s="43" t="s">
        <v>1141</v>
      </c>
      <c r="B46" s="31" t="s">
        <v>1116</v>
      </c>
      <c r="C46" s="31" t="s">
        <v>837</v>
      </c>
      <c r="D46" s="31" t="s">
        <v>306</v>
      </c>
      <c r="E46" s="47" t="s">
        <v>1222</v>
      </c>
    </row>
    <row r="49" spans="1:2" s="31" customFormat="1" ht="15">
      <c r="A49" s="42" t="s">
        <v>234</v>
      </c>
      <c r="B49" s="42"/>
    </row>
    <row r="50" spans="1:2" s="31" customFormat="1" ht="14.25">
      <c r="A50" s="44" t="s">
        <v>1116</v>
      </c>
      <c r="B50" s="45"/>
    </row>
    <row r="51" spans="1:5" s="31" customFormat="1" ht="15">
      <c r="A51" s="46" t="s">
        <v>226</v>
      </c>
      <c r="B51" s="46" t="s">
        <v>227</v>
      </c>
      <c r="C51" s="46" t="s">
        <v>228</v>
      </c>
      <c r="D51" s="46" t="s">
        <v>229</v>
      </c>
      <c r="E51" s="46" t="s">
        <v>230</v>
      </c>
    </row>
    <row r="52" spans="1:5" s="31" customFormat="1" ht="12.75">
      <c r="A52" s="43" t="s">
        <v>1159</v>
      </c>
      <c r="B52" s="31" t="s">
        <v>1116</v>
      </c>
      <c r="C52" s="31" t="s">
        <v>239</v>
      </c>
      <c r="D52" s="31" t="s">
        <v>215</v>
      </c>
      <c r="E52" s="47" t="s">
        <v>1223</v>
      </c>
    </row>
    <row r="53" spans="1:5" s="31" customFormat="1" ht="12.75">
      <c r="A53" s="43" t="s">
        <v>1164</v>
      </c>
      <c r="B53" s="31" t="s">
        <v>1116</v>
      </c>
      <c r="C53" s="31" t="s">
        <v>242</v>
      </c>
      <c r="D53" s="31" t="s">
        <v>1168</v>
      </c>
      <c r="E53" s="47" t="s">
        <v>1224</v>
      </c>
    </row>
    <row r="54" spans="1:5" s="31" customFormat="1" ht="12.75">
      <c r="A54" s="43" t="s">
        <v>1182</v>
      </c>
      <c r="B54" s="31" t="s">
        <v>1116</v>
      </c>
      <c r="C54" s="31" t="s">
        <v>263</v>
      </c>
      <c r="D54" s="31" t="s">
        <v>78</v>
      </c>
      <c r="E54" s="47" t="s">
        <v>1225</v>
      </c>
    </row>
    <row r="55" spans="1:5" s="31" customFormat="1" ht="12.75">
      <c r="A55" s="43" t="s">
        <v>1154</v>
      </c>
      <c r="B55" s="31" t="s">
        <v>1116</v>
      </c>
      <c r="C55" s="31" t="s">
        <v>239</v>
      </c>
      <c r="D55" s="31" t="s">
        <v>587</v>
      </c>
      <c r="E55" s="47" t="s">
        <v>1226</v>
      </c>
    </row>
    <row r="56" spans="1:5" s="31" customFormat="1" ht="12.75">
      <c r="A56" s="43" t="s">
        <v>1176</v>
      </c>
      <c r="B56" s="31" t="s">
        <v>1116</v>
      </c>
      <c r="C56" s="31" t="s">
        <v>249</v>
      </c>
      <c r="D56" s="31" t="s">
        <v>74</v>
      </c>
      <c r="E56" s="47" t="s">
        <v>1227</v>
      </c>
    </row>
    <row r="57" spans="1:5" s="31" customFormat="1" ht="12.75">
      <c r="A57" s="43" t="s">
        <v>1170</v>
      </c>
      <c r="B57" s="31" t="s">
        <v>1116</v>
      </c>
      <c r="C57" s="31" t="s">
        <v>236</v>
      </c>
      <c r="D57" s="31" t="s">
        <v>1175</v>
      </c>
      <c r="E57" s="47" t="s">
        <v>1228</v>
      </c>
    </row>
    <row r="58" spans="1:5" s="31" customFormat="1" ht="12.75">
      <c r="A58" s="43" t="s">
        <v>1186</v>
      </c>
      <c r="B58" s="31" t="s">
        <v>1116</v>
      </c>
      <c r="C58" s="31" t="s">
        <v>263</v>
      </c>
      <c r="D58" s="31" t="s">
        <v>74</v>
      </c>
      <c r="E58" s="47" t="s">
        <v>1229</v>
      </c>
    </row>
    <row r="59" spans="1:5" s="31" customFormat="1" ht="12.75">
      <c r="A59" s="43" t="s">
        <v>1204</v>
      </c>
      <c r="B59" s="31" t="s">
        <v>1116</v>
      </c>
      <c r="C59" s="31" t="s">
        <v>256</v>
      </c>
      <c r="D59" s="31" t="s">
        <v>74</v>
      </c>
      <c r="E59" s="47" t="s">
        <v>1230</v>
      </c>
    </row>
    <row r="60" spans="1:5" s="31" customFormat="1" ht="12.75">
      <c r="A60" s="43" t="s">
        <v>1210</v>
      </c>
      <c r="B60" s="31" t="s">
        <v>1116</v>
      </c>
      <c r="C60" s="31" t="s">
        <v>256</v>
      </c>
      <c r="D60" s="31" t="s">
        <v>73</v>
      </c>
      <c r="E60" s="47" t="s">
        <v>1231</v>
      </c>
    </row>
    <row r="61" spans="1:5" s="31" customFormat="1" ht="12.75">
      <c r="A61" s="43" t="s">
        <v>1190</v>
      </c>
      <c r="B61" s="31" t="s">
        <v>1116</v>
      </c>
      <c r="C61" s="31" t="s">
        <v>263</v>
      </c>
      <c r="D61" s="31" t="s">
        <v>77</v>
      </c>
      <c r="E61" s="47" t="s">
        <v>1232</v>
      </c>
    </row>
    <row r="62" spans="1:5" s="31" customFormat="1" ht="12.75">
      <c r="A62" s="43" t="s">
        <v>1194</v>
      </c>
      <c r="B62" s="31" t="s">
        <v>1116</v>
      </c>
      <c r="C62" s="31" t="s">
        <v>263</v>
      </c>
      <c r="D62" s="31" t="s">
        <v>93</v>
      </c>
      <c r="E62" s="47" t="s">
        <v>1233</v>
      </c>
    </row>
    <row r="63" spans="1:5" s="31" customFormat="1" ht="12.75">
      <c r="A63" s="43" t="s">
        <v>1179</v>
      </c>
      <c r="B63" s="31" t="s">
        <v>1116</v>
      </c>
      <c r="C63" s="31" t="s">
        <v>249</v>
      </c>
      <c r="D63" s="31" t="s">
        <v>150</v>
      </c>
      <c r="E63" s="47" t="s">
        <v>1234</v>
      </c>
    </row>
    <row r="64" spans="1:5" s="31" customFormat="1" ht="12.75">
      <c r="A64" s="43" t="s">
        <v>1199</v>
      </c>
      <c r="B64" s="31" t="s">
        <v>1116</v>
      </c>
      <c r="C64" s="31" t="s">
        <v>263</v>
      </c>
      <c r="D64" s="31" t="s">
        <v>150</v>
      </c>
      <c r="E64" s="47" t="s">
        <v>1235</v>
      </c>
    </row>
    <row r="65" spans="1:5" s="31" customFormat="1" ht="12.75">
      <c r="A65" s="43" t="s">
        <v>1216</v>
      </c>
      <c r="B65" s="31" t="s">
        <v>1116</v>
      </c>
      <c r="C65" s="31" t="s">
        <v>256</v>
      </c>
      <c r="D65" s="31" t="s">
        <v>150</v>
      </c>
      <c r="E65" s="47" t="s">
        <v>1236</v>
      </c>
    </row>
    <row r="67" spans="1:2" s="31" customFormat="1" ht="18">
      <c r="A67" s="41" t="s">
        <v>1140</v>
      </c>
      <c r="B67" s="41"/>
    </row>
    <row r="68" spans="1:2" s="31" customFormat="1" ht="15">
      <c r="A68" s="42" t="s">
        <v>224</v>
      </c>
      <c r="B68" s="42"/>
    </row>
    <row r="69" spans="1:2" s="31" customFormat="1" ht="14.25">
      <c r="A69" s="44" t="s">
        <v>1116</v>
      </c>
      <c r="B69" s="45"/>
    </row>
    <row r="70" spans="1:5" s="31" customFormat="1" ht="15">
      <c r="A70" s="46" t="s">
        <v>226</v>
      </c>
      <c r="B70" s="46" t="s">
        <v>227</v>
      </c>
      <c r="C70" s="46" t="s">
        <v>228</v>
      </c>
      <c r="D70" s="46" t="s">
        <v>229</v>
      </c>
      <c r="E70" s="46" t="s">
        <v>230</v>
      </c>
    </row>
    <row r="71" spans="1:5" s="31" customFormat="1" ht="12.75">
      <c r="A71" s="43" t="s">
        <v>1147</v>
      </c>
      <c r="B71" s="31" t="s">
        <v>1116</v>
      </c>
      <c r="C71" s="31" t="s">
        <v>1220</v>
      </c>
      <c r="D71" s="47" t="s">
        <v>117</v>
      </c>
      <c r="E71" s="67" t="s">
        <v>1221</v>
      </c>
    </row>
    <row r="72" spans="1:5" s="31" customFormat="1" ht="12.75">
      <c r="A72" s="43" t="s">
        <v>1141</v>
      </c>
      <c r="B72" s="31" t="s">
        <v>1116</v>
      </c>
      <c r="C72" s="31" t="s">
        <v>837</v>
      </c>
      <c r="D72" s="47" t="s">
        <v>306</v>
      </c>
      <c r="E72" s="67" t="s">
        <v>1222</v>
      </c>
    </row>
    <row r="75" spans="1:2" s="31" customFormat="1" ht="15">
      <c r="A75" s="42" t="s">
        <v>234</v>
      </c>
      <c r="B75" s="42"/>
    </row>
    <row r="76" spans="1:2" s="31" customFormat="1" ht="14.25">
      <c r="A76" s="44" t="s">
        <v>1116</v>
      </c>
      <c r="B76" s="45"/>
    </row>
    <row r="77" spans="1:5" s="31" customFormat="1" ht="15">
      <c r="A77" s="46" t="s">
        <v>226</v>
      </c>
      <c r="B77" s="46" t="s">
        <v>227</v>
      </c>
      <c r="C77" s="46" t="s">
        <v>228</v>
      </c>
      <c r="D77" s="46" t="s">
        <v>229</v>
      </c>
      <c r="E77" s="46" t="s">
        <v>230</v>
      </c>
    </row>
    <row r="78" spans="1:5" s="31" customFormat="1" ht="12.75">
      <c r="A78" s="43" t="s">
        <v>1182</v>
      </c>
      <c r="B78" s="31" t="s">
        <v>1116</v>
      </c>
      <c r="C78" s="31" t="s">
        <v>263</v>
      </c>
      <c r="D78" s="47" t="s">
        <v>78</v>
      </c>
      <c r="E78" s="67" t="s">
        <v>1225</v>
      </c>
    </row>
    <row r="79" spans="1:5" s="31" customFormat="1" ht="12.75">
      <c r="A79" s="43" t="s">
        <v>1176</v>
      </c>
      <c r="B79" s="31" t="s">
        <v>1116</v>
      </c>
      <c r="C79" s="31" t="s">
        <v>249</v>
      </c>
      <c r="D79" s="47" t="s">
        <v>74</v>
      </c>
      <c r="E79" s="67" t="s">
        <v>1227</v>
      </c>
    </row>
    <row r="80" spans="1:5" s="31" customFormat="1" ht="12.75">
      <c r="A80" s="43" t="s">
        <v>1186</v>
      </c>
      <c r="B80" s="31" t="s">
        <v>1116</v>
      </c>
      <c r="C80" s="31" t="s">
        <v>263</v>
      </c>
      <c r="D80" s="47" t="s">
        <v>74</v>
      </c>
      <c r="E80" s="67" t="s">
        <v>1229</v>
      </c>
    </row>
    <row r="81" spans="1:5" s="31" customFormat="1" ht="12.75">
      <c r="A81" s="43" t="s">
        <v>1204</v>
      </c>
      <c r="B81" s="31" t="s">
        <v>1116</v>
      </c>
      <c r="C81" s="31" t="s">
        <v>256</v>
      </c>
      <c r="D81" s="47" t="s">
        <v>74</v>
      </c>
      <c r="E81" s="67" t="s">
        <v>1230</v>
      </c>
    </row>
    <row r="82" spans="1:5" s="31" customFormat="1" ht="12.75">
      <c r="A82" s="43" t="s">
        <v>1210</v>
      </c>
      <c r="B82" s="31" t="s">
        <v>1116</v>
      </c>
      <c r="C82" s="31" t="s">
        <v>256</v>
      </c>
      <c r="D82" s="47" t="s">
        <v>73</v>
      </c>
      <c r="E82" s="67" t="s">
        <v>1231</v>
      </c>
    </row>
    <row r="83" spans="1:5" s="31" customFormat="1" ht="12.75">
      <c r="A83" s="43" t="s">
        <v>1164</v>
      </c>
      <c r="B83" s="31" t="s">
        <v>1116</v>
      </c>
      <c r="C83" s="31" t="s">
        <v>242</v>
      </c>
      <c r="D83" s="47" t="s">
        <v>1168</v>
      </c>
      <c r="E83" s="67" t="s">
        <v>1224</v>
      </c>
    </row>
    <row r="84" spans="1:5" s="31" customFormat="1" ht="12.75">
      <c r="A84" s="43" t="s">
        <v>1170</v>
      </c>
      <c r="B84" s="31" t="s">
        <v>1116</v>
      </c>
      <c r="C84" s="31" t="s">
        <v>236</v>
      </c>
      <c r="D84" s="47" t="s">
        <v>1175</v>
      </c>
      <c r="E84" s="67" t="s">
        <v>1228</v>
      </c>
    </row>
    <row r="85" spans="1:5" s="31" customFormat="1" ht="12.75">
      <c r="A85" s="43" t="s">
        <v>1190</v>
      </c>
      <c r="B85" s="31" t="s">
        <v>1116</v>
      </c>
      <c r="C85" s="31" t="s">
        <v>263</v>
      </c>
      <c r="D85" s="47" t="s">
        <v>77</v>
      </c>
      <c r="E85" s="67" t="s">
        <v>1232</v>
      </c>
    </row>
    <row r="86" spans="1:5" s="31" customFormat="1" ht="12.75">
      <c r="A86" s="43" t="s">
        <v>1194</v>
      </c>
      <c r="B86" s="31" t="s">
        <v>1116</v>
      </c>
      <c r="C86" s="31" t="s">
        <v>263</v>
      </c>
      <c r="D86" s="47" t="s">
        <v>93</v>
      </c>
      <c r="E86" s="67" t="s">
        <v>1233</v>
      </c>
    </row>
    <row r="87" spans="1:5" s="31" customFormat="1" ht="12.75">
      <c r="A87" s="43" t="s">
        <v>1179</v>
      </c>
      <c r="B87" s="31" t="s">
        <v>1116</v>
      </c>
      <c r="C87" s="31" t="s">
        <v>249</v>
      </c>
      <c r="D87" s="47" t="s">
        <v>150</v>
      </c>
      <c r="E87" s="67" t="s">
        <v>1234</v>
      </c>
    </row>
    <row r="88" spans="1:5" s="31" customFormat="1" ht="12.75">
      <c r="A88" s="43" t="s">
        <v>1199</v>
      </c>
      <c r="B88" s="31" t="s">
        <v>1116</v>
      </c>
      <c r="C88" s="31" t="s">
        <v>263</v>
      </c>
      <c r="D88" s="47" t="s">
        <v>150</v>
      </c>
      <c r="E88" s="67" t="s">
        <v>1235</v>
      </c>
    </row>
    <row r="89" spans="1:5" s="31" customFormat="1" ht="12.75">
      <c r="A89" s="43" t="s">
        <v>1216</v>
      </c>
      <c r="B89" s="31" t="s">
        <v>1116</v>
      </c>
      <c r="C89" s="31" t="s">
        <v>256</v>
      </c>
      <c r="D89" s="47" t="s">
        <v>150</v>
      </c>
      <c r="E89" s="67" t="s">
        <v>1236</v>
      </c>
    </row>
    <row r="90" spans="1:5" s="31" customFormat="1" ht="12.75">
      <c r="A90" s="43" t="s">
        <v>1154</v>
      </c>
      <c r="B90" s="31" t="s">
        <v>1116</v>
      </c>
      <c r="C90" s="31" t="s">
        <v>239</v>
      </c>
      <c r="D90" s="47" t="s">
        <v>587</v>
      </c>
      <c r="E90" s="67" t="s">
        <v>1226</v>
      </c>
    </row>
    <row r="91" spans="1:5" s="31" customFormat="1" ht="12.75">
      <c r="A91" s="43" t="s">
        <v>1159</v>
      </c>
      <c r="B91" s="31" t="s">
        <v>1116</v>
      </c>
      <c r="C91" s="31" t="s">
        <v>239</v>
      </c>
      <c r="D91" s="47" t="s">
        <v>215</v>
      </c>
      <c r="E91" s="67" t="s">
        <v>1223</v>
      </c>
    </row>
  </sheetData>
  <sheetProtection/>
  <mergeCells count="20">
    <mergeCell ref="A21:L21"/>
    <mergeCell ref="A24:L24"/>
    <mergeCell ref="A28:L28"/>
    <mergeCell ref="A35:L35"/>
    <mergeCell ref="M3:M4"/>
    <mergeCell ref="A5:L5"/>
    <mergeCell ref="A8:L8"/>
    <mergeCell ref="A11:L11"/>
    <mergeCell ref="A14:L14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5.0039062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4.62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18.125" style="31" bestFit="1" customWidth="1"/>
  </cols>
  <sheetData>
    <row r="1" spans="1:13" s="1" customFormat="1" ht="15" customHeight="1">
      <c r="A1" s="52" t="s">
        <v>1043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3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636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920</v>
      </c>
      <c r="B6" s="32" t="s">
        <v>921</v>
      </c>
      <c r="C6" s="32" t="s">
        <v>922</v>
      </c>
      <c r="D6" s="32" t="str">
        <f>"1,3305"</f>
        <v>1,3305</v>
      </c>
      <c r="E6" s="32" t="s">
        <v>18</v>
      </c>
      <c r="F6" s="32" t="s">
        <v>19</v>
      </c>
      <c r="G6" s="32" t="s">
        <v>39</v>
      </c>
      <c r="H6" s="32" t="s">
        <v>118</v>
      </c>
      <c r="I6" s="33" t="s">
        <v>85</v>
      </c>
      <c r="J6" s="33"/>
      <c r="K6" s="32">
        <v>130</v>
      </c>
      <c r="L6" s="32" t="str">
        <f>"172,9650"</f>
        <v>172,9650</v>
      </c>
      <c r="M6" s="32" t="s">
        <v>923</v>
      </c>
    </row>
    <row r="8" spans="1:12" ht="15">
      <c r="A8" s="61" t="s">
        <v>644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2.75">
      <c r="A9" s="32" t="s">
        <v>925</v>
      </c>
      <c r="B9" s="32" t="s">
        <v>926</v>
      </c>
      <c r="C9" s="32" t="s">
        <v>927</v>
      </c>
      <c r="D9" s="32" t="str">
        <f>"1,2466"</f>
        <v>1,2466</v>
      </c>
      <c r="E9" s="32" t="s">
        <v>928</v>
      </c>
      <c r="F9" s="32" t="s">
        <v>929</v>
      </c>
      <c r="G9" s="32" t="s">
        <v>85</v>
      </c>
      <c r="H9" s="32" t="s">
        <v>27</v>
      </c>
      <c r="I9" s="33" t="s">
        <v>64</v>
      </c>
      <c r="J9" s="33"/>
      <c r="K9" s="32">
        <v>140</v>
      </c>
      <c r="L9" s="32" t="str">
        <f>"174,5240"</f>
        <v>174,5240</v>
      </c>
      <c r="M9" s="32" t="s">
        <v>930</v>
      </c>
    </row>
    <row r="11" spans="1:12" ht="15">
      <c r="A11" s="61" t="s">
        <v>30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3" ht="12.75">
      <c r="A12" s="34" t="s">
        <v>932</v>
      </c>
      <c r="B12" s="34" t="s">
        <v>933</v>
      </c>
      <c r="C12" s="34" t="s">
        <v>934</v>
      </c>
      <c r="D12" s="34" t="str">
        <f>"0,9522"</f>
        <v>0,9522</v>
      </c>
      <c r="E12" s="34" t="s">
        <v>737</v>
      </c>
      <c r="F12" s="34" t="s">
        <v>738</v>
      </c>
      <c r="G12" s="35" t="s">
        <v>325</v>
      </c>
      <c r="H12" s="34" t="s">
        <v>118</v>
      </c>
      <c r="I12" s="35" t="s">
        <v>51</v>
      </c>
      <c r="J12" s="35"/>
      <c r="K12" s="34">
        <v>130</v>
      </c>
      <c r="L12" s="34" t="str">
        <f>"123,7860"</f>
        <v>123,7860</v>
      </c>
      <c r="M12" s="34" t="s">
        <v>541</v>
      </c>
    </row>
    <row r="13" spans="1:13" ht="12.75">
      <c r="A13" s="38" t="s">
        <v>936</v>
      </c>
      <c r="B13" s="38" t="s">
        <v>937</v>
      </c>
      <c r="C13" s="38" t="s">
        <v>938</v>
      </c>
      <c r="D13" s="38" t="str">
        <f>"0,9716"</f>
        <v>0,9716</v>
      </c>
      <c r="E13" s="38" t="s">
        <v>18</v>
      </c>
      <c r="F13" s="38" t="s">
        <v>18</v>
      </c>
      <c r="G13" s="38" t="s">
        <v>331</v>
      </c>
      <c r="H13" s="39" t="s">
        <v>363</v>
      </c>
      <c r="I13" s="38" t="s">
        <v>332</v>
      </c>
      <c r="J13" s="39"/>
      <c r="K13" s="38">
        <v>100</v>
      </c>
      <c r="L13" s="38" t="str">
        <f>"97,1600"</f>
        <v>97,1600</v>
      </c>
      <c r="M13" s="38" t="s">
        <v>939</v>
      </c>
    </row>
    <row r="15" spans="1:12" ht="15">
      <c r="A15" s="61" t="s">
        <v>439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3" ht="12.75">
      <c r="A16" s="32" t="s">
        <v>941</v>
      </c>
      <c r="B16" s="32" t="s">
        <v>942</v>
      </c>
      <c r="C16" s="32" t="s">
        <v>943</v>
      </c>
      <c r="D16" s="32" t="str">
        <f>"0,7804"</f>
        <v>0,7804</v>
      </c>
      <c r="E16" s="32" t="s">
        <v>551</v>
      </c>
      <c r="F16" s="32" t="s">
        <v>944</v>
      </c>
      <c r="G16" s="32" t="s">
        <v>37</v>
      </c>
      <c r="H16" s="32" t="s">
        <v>40</v>
      </c>
      <c r="I16" s="33" t="s">
        <v>86</v>
      </c>
      <c r="J16" s="33"/>
      <c r="K16" s="32">
        <v>200</v>
      </c>
      <c r="L16" s="32" t="str">
        <f>"156,0800"</f>
        <v>156,0800</v>
      </c>
      <c r="M16" s="32" t="s">
        <v>54</v>
      </c>
    </row>
    <row r="18" spans="1:12" ht="15">
      <c r="A18" s="61" t="s">
        <v>30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3" ht="12.75">
      <c r="A19" s="34" t="s">
        <v>946</v>
      </c>
      <c r="B19" s="34" t="s">
        <v>947</v>
      </c>
      <c r="C19" s="34" t="s">
        <v>948</v>
      </c>
      <c r="D19" s="34" t="str">
        <f>"0,7278"</f>
        <v>0,7278</v>
      </c>
      <c r="E19" s="34" t="s">
        <v>18</v>
      </c>
      <c r="F19" s="34" t="s">
        <v>18</v>
      </c>
      <c r="G19" s="34" t="s">
        <v>121</v>
      </c>
      <c r="H19" s="34" t="s">
        <v>22</v>
      </c>
      <c r="I19" s="34" t="s">
        <v>129</v>
      </c>
      <c r="J19" s="35"/>
      <c r="K19" s="34">
        <v>187.5</v>
      </c>
      <c r="L19" s="34" t="str">
        <f>"136,4625"</f>
        <v>136,4625</v>
      </c>
      <c r="M19" s="34" t="s">
        <v>54</v>
      </c>
    </row>
    <row r="20" spans="1:13" ht="12.75">
      <c r="A20" s="36" t="s">
        <v>950</v>
      </c>
      <c r="B20" s="36" t="s">
        <v>951</v>
      </c>
      <c r="C20" s="36" t="s">
        <v>952</v>
      </c>
      <c r="D20" s="36" t="str">
        <f>"0,7173"</f>
        <v>0,7173</v>
      </c>
      <c r="E20" s="36" t="s">
        <v>18</v>
      </c>
      <c r="F20" s="36" t="s">
        <v>18</v>
      </c>
      <c r="G20" s="37" t="s">
        <v>20</v>
      </c>
      <c r="H20" s="36" t="s">
        <v>20</v>
      </c>
      <c r="I20" s="37" t="s">
        <v>121</v>
      </c>
      <c r="J20" s="37"/>
      <c r="K20" s="36">
        <v>150</v>
      </c>
      <c r="L20" s="36" t="str">
        <f>"107,5950"</f>
        <v>107,5950</v>
      </c>
      <c r="M20" s="36" t="s">
        <v>953</v>
      </c>
    </row>
    <row r="21" spans="1:13" ht="12.75">
      <c r="A21" s="38" t="s">
        <v>955</v>
      </c>
      <c r="B21" s="38" t="s">
        <v>956</v>
      </c>
      <c r="C21" s="38" t="s">
        <v>952</v>
      </c>
      <c r="D21" s="38" t="str">
        <f>"0,7173"</f>
        <v>0,7173</v>
      </c>
      <c r="E21" s="38" t="s">
        <v>110</v>
      </c>
      <c r="F21" s="38" t="s">
        <v>111</v>
      </c>
      <c r="G21" s="38" t="s">
        <v>21</v>
      </c>
      <c r="H21" s="38" t="s">
        <v>36</v>
      </c>
      <c r="I21" s="38" t="s">
        <v>129</v>
      </c>
      <c r="J21" s="39"/>
      <c r="K21" s="38">
        <v>187.5</v>
      </c>
      <c r="L21" s="38" t="str">
        <f>"134,4937"</f>
        <v>134,4937</v>
      </c>
      <c r="M21" s="38" t="s">
        <v>957</v>
      </c>
    </row>
    <row r="23" spans="1:12" ht="15">
      <c r="A23" s="61" t="s">
        <v>45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3" ht="12.75">
      <c r="A24" s="34" t="s">
        <v>334</v>
      </c>
      <c r="B24" s="34" t="s">
        <v>335</v>
      </c>
      <c r="C24" s="34" t="s">
        <v>336</v>
      </c>
      <c r="D24" s="34" t="str">
        <f>"0,6709"</f>
        <v>0,6709</v>
      </c>
      <c r="E24" s="34" t="s">
        <v>59</v>
      </c>
      <c r="F24" s="34" t="s">
        <v>337</v>
      </c>
      <c r="G24" s="34" t="s">
        <v>42</v>
      </c>
      <c r="H24" s="34" t="s">
        <v>215</v>
      </c>
      <c r="I24" s="34" t="s">
        <v>338</v>
      </c>
      <c r="J24" s="35"/>
      <c r="K24" s="34">
        <v>232.5</v>
      </c>
      <c r="L24" s="34" t="str">
        <f>"155,9842"</f>
        <v>155,9842</v>
      </c>
      <c r="M24" s="34" t="s">
        <v>54</v>
      </c>
    </row>
    <row r="25" spans="1:13" ht="12.75">
      <c r="A25" s="38" t="s">
        <v>959</v>
      </c>
      <c r="B25" s="38" t="s">
        <v>960</v>
      </c>
      <c r="C25" s="38" t="s">
        <v>961</v>
      </c>
      <c r="D25" s="38" t="str">
        <f>"0,6865"</f>
        <v>0,6865</v>
      </c>
      <c r="E25" s="38" t="s">
        <v>18</v>
      </c>
      <c r="F25" s="38" t="s">
        <v>18</v>
      </c>
      <c r="G25" s="38" t="s">
        <v>118</v>
      </c>
      <c r="H25" s="38" t="s">
        <v>20</v>
      </c>
      <c r="I25" s="38" t="s">
        <v>140</v>
      </c>
      <c r="J25" s="39"/>
      <c r="K25" s="38">
        <v>162.5</v>
      </c>
      <c r="L25" s="38" t="str">
        <f>"111,5563"</f>
        <v>111,5563</v>
      </c>
      <c r="M25" s="38" t="s">
        <v>962</v>
      </c>
    </row>
    <row r="27" spans="1:12" ht="15">
      <c r="A27" s="61" t="s">
        <v>68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3" ht="12.75">
      <c r="A28" s="34" t="s">
        <v>964</v>
      </c>
      <c r="B28" s="34" t="s">
        <v>965</v>
      </c>
      <c r="C28" s="34" t="s">
        <v>966</v>
      </c>
      <c r="D28" s="34" t="str">
        <f>"0,6463"</f>
        <v>0,6463</v>
      </c>
      <c r="E28" s="34" t="s">
        <v>18</v>
      </c>
      <c r="F28" s="34" t="s">
        <v>18</v>
      </c>
      <c r="G28" s="34" t="s">
        <v>40</v>
      </c>
      <c r="H28" s="34" t="s">
        <v>86</v>
      </c>
      <c r="I28" s="34" t="s">
        <v>42</v>
      </c>
      <c r="J28" s="35"/>
      <c r="K28" s="34">
        <v>215</v>
      </c>
      <c r="L28" s="34" t="str">
        <f>"138,9545"</f>
        <v>138,9545</v>
      </c>
      <c r="M28" s="34" t="s">
        <v>54</v>
      </c>
    </row>
    <row r="29" spans="1:13" ht="12.75">
      <c r="A29" s="36" t="s">
        <v>968</v>
      </c>
      <c r="B29" s="36" t="s">
        <v>969</v>
      </c>
      <c r="C29" s="36" t="s">
        <v>970</v>
      </c>
      <c r="D29" s="36" t="str">
        <f>"0,6402"</f>
        <v>0,6402</v>
      </c>
      <c r="E29" s="36" t="s">
        <v>18</v>
      </c>
      <c r="F29" s="36" t="s">
        <v>19</v>
      </c>
      <c r="G29" s="36" t="s">
        <v>40</v>
      </c>
      <c r="H29" s="36" t="s">
        <v>41</v>
      </c>
      <c r="I29" s="37" t="s">
        <v>50</v>
      </c>
      <c r="J29" s="37"/>
      <c r="K29" s="36">
        <v>210</v>
      </c>
      <c r="L29" s="36" t="str">
        <f>"134,4420"</f>
        <v>134,4420</v>
      </c>
      <c r="M29" s="36" t="s">
        <v>54</v>
      </c>
    </row>
    <row r="30" spans="1:13" ht="12.75">
      <c r="A30" s="36" t="s">
        <v>972</v>
      </c>
      <c r="B30" s="36" t="s">
        <v>973</v>
      </c>
      <c r="C30" s="36" t="s">
        <v>974</v>
      </c>
      <c r="D30" s="36" t="str">
        <f>"0,6459"</f>
        <v>0,6459</v>
      </c>
      <c r="E30" s="36" t="s">
        <v>975</v>
      </c>
      <c r="F30" s="36" t="s">
        <v>976</v>
      </c>
      <c r="G30" s="36" t="s">
        <v>37</v>
      </c>
      <c r="H30" s="37" t="s">
        <v>40</v>
      </c>
      <c r="I30" s="37" t="s">
        <v>40</v>
      </c>
      <c r="J30" s="37"/>
      <c r="K30" s="36">
        <v>190</v>
      </c>
      <c r="L30" s="36" t="str">
        <f>"122,7210"</f>
        <v>122,7210</v>
      </c>
      <c r="M30" s="36" t="s">
        <v>54</v>
      </c>
    </row>
    <row r="31" spans="1:13" ht="12.75">
      <c r="A31" s="36" t="s">
        <v>978</v>
      </c>
      <c r="B31" s="36" t="s">
        <v>979</v>
      </c>
      <c r="C31" s="36" t="s">
        <v>360</v>
      </c>
      <c r="D31" s="36" t="str">
        <f>"0,6540"</f>
        <v>0,6540</v>
      </c>
      <c r="E31" s="36" t="s">
        <v>459</v>
      </c>
      <c r="F31" s="36" t="s">
        <v>460</v>
      </c>
      <c r="G31" s="37" t="s">
        <v>178</v>
      </c>
      <c r="H31" s="37" t="s">
        <v>178</v>
      </c>
      <c r="I31" s="36" t="s">
        <v>178</v>
      </c>
      <c r="J31" s="37"/>
      <c r="K31" s="36">
        <v>240</v>
      </c>
      <c r="L31" s="36" t="str">
        <f>"156,9600"</f>
        <v>156,9600</v>
      </c>
      <c r="M31" s="36" t="s">
        <v>980</v>
      </c>
    </row>
    <row r="32" spans="1:13" ht="12.75">
      <c r="A32" s="36" t="s">
        <v>982</v>
      </c>
      <c r="B32" s="36" t="s">
        <v>983</v>
      </c>
      <c r="C32" s="36" t="s">
        <v>746</v>
      </c>
      <c r="D32" s="36" t="str">
        <f>"0,6410"</f>
        <v>0,6410</v>
      </c>
      <c r="E32" s="36" t="s">
        <v>18</v>
      </c>
      <c r="F32" s="36" t="s">
        <v>18</v>
      </c>
      <c r="G32" s="36" t="s">
        <v>137</v>
      </c>
      <c r="H32" s="36" t="s">
        <v>178</v>
      </c>
      <c r="I32" s="37" t="s">
        <v>76</v>
      </c>
      <c r="J32" s="37"/>
      <c r="K32" s="36">
        <v>240</v>
      </c>
      <c r="L32" s="36" t="str">
        <f>"153,8400"</f>
        <v>153,8400</v>
      </c>
      <c r="M32" s="36" t="s">
        <v>984</v>
      </c>
    </row>
    <row r="33" spans="1:13" ht="12.75">
      <c r="A33" s="36" t="s">
        <v>985</v>
      </c>
      <c r="B33" s="36" t="s">
        <v>750</v>
      </c>
      <c r="C33" s="36" t="s">
        <v>751</v>
      </c>
      <c r="D33" s="36" t="str">
        <f>"0,6545"</f>
        <v>0,6545</v>
      </c>
      <c r="E33" s="36" t="s">
        <v>514</v>
      </c>
      <c r="F33" s="36" t="s">
        <v>515</v>
      </c>
      <c r="G33" s="36" t="s">
        <v>86</v>
      </c>
      <c r="H33" s="36" t="s">
        <v>42</v>
      </c>
      <c r="I33" s="37" t="s">
        <v>338</v>
      </c>
      <c r="J33" s="37"/>
      <c r="K33" s="36">
        <v>215</v>
      </c>
      <c r="L33" s="36" t="str">
        <f>"140,7175"</f>
        <v>140,7175</v>
      </c>
      <c r="M33" s="36" t="s">
        <v>516</v>
      </c>
    </row>
    <row r="34" spans="1:13" ht="12.75">
      <c r="A34" s="38" t="s">
        <v>987</v>
      </c>
      <c r="B34" s="38" t="s">
        <v>988</v>
      </c>
      <c r="C34" s="38" t="s">
        <v>970</v>
      </c>
      <c r="D34" s="38" t="str">
        <f>"0,6402"</f>
        <v>0,6402</v>
      </c>
      <c r="E34" s="38" t="s">
        <v>18</v>
      </c>
      <c r="F34" s="38" t="s">
        <v>18</v>
      </c>
      <c r="G34" s="38" t="s">
        <v>35</v>
      </c>
      <c r="H34" s="38" t="s">
        <v>36</v>
      </c>
      <c r="I34" s="38" t="s">
        <v>37</v>
      </c>
      <c r="J34" s="39"/>
      <c r="K34" s="38">
        <v>190</v>
      </c>
      <c r="L34" s="38" t="str">
        <f>"121,6380"</f>
        <v>121,6380</v>
      </c>
      <c r="M34" s="38" t="s">
        <v>54</v>
      </c>
    </row>
    <row r="36" spans="1:12" ht="15">
      <c r="A36" s="61" t="s">
        <v>113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3" ht="12.75">
      <c r="A37" s="34" t="s">
        <v>990</v>
      </c>
      <c r="B37" s="34" t="s">
        <v>991</v>
      </c>
      <c r="C37" s="34" t="s">
        <v>992</v>
      </c>
      <c r="D37" s="34" t="str">
        <f>"0,6144"</f>
        <v>0,6144</v>
      </c>
      <c r="E37" s="34" t="s">
        <v>373</v>
      </c>
      <c r="F37" s="34" t="s">
        <v>387</v>
      </c>
      <c r="G37" s="34" t="s">
        <v>93</v>
      </c>
      <c r="H37" s="34" t="s">
        <v>993</v>
      </c>
      <c r="I37" s="35" t="s">
        <v>103</v>
      </c>
      <c r="J37" s="35"/>
      <c r="K37" s="34">
        <v>277.5</v>
      </c>
      <c r="L37" s="34" t="str">
        <f>"170,4960"</f>
        <v>170,4960</v>
      </c>
      <c r="M37" s="34" t="s">
        <v>994</v>
      </c>
    </row>
    <row r="38" spans="1:13" ht="12.75">
      <c r="A38" s="38" t="s">
        <v>996</v>
      </c>
      <c r="B38" s="38" t="s">
        <v>997</v>
      </c>
      <c r="C38" s="38" t="s">
        <v>998</v>
      </c>
      <c r="D38" s="38" t="str">
        <f>"0,6315"</f>
        <v>0,6315</v>
      </c>
      <c r="E38" s="38" t="s">
        <v>18</v>
      </c>
      <c r="F38" s="38" t="s">
        <v>18</v>
      </c>
      <c r="G38" s="38" t="s">
        <v>142</v>
      </c>
      <c r="H38" s="38" t="s">
        <v>999</v>
      </c>
      <c r="I38" s="38" t="s">
        <v>382</v>
      </c>
      <c r="J38" s="39"/>
      <c r="K38" s="38">
        <v>272.5</v>
      </c>
      <c r="L38" s="38" t="str">
        <f>"172,0838"</f>
        <v>172,0838</v>
      </c>
      <c r="M38" s="38" t="s">
        <v>1000</v>
      </c>
    </row>
    <row r="40" spans="1:12" ht="15">
      <c r="A40" s="61" t="s">
        <v>145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3" ht="12.75">
      <c r="A41" s="34" t="s">
        <v>1002</v>
      </c>
      <c r="B41" s="34" t="s">
        <v>1003</v>
      </c>
      <c r="C41" s="34" t="s">
        <v>557</v>
      </c>
      <c r="D41" s="34" t="str">
        <f>"0,5928"</f>
        <v>0,5928</v>
      </c>
      <c r="E41" s="34" t="s">
        <v>204</v>
      </c>
      <c r="F41" s="34" t="s">
        <v>1004</v>
      </c>
      <c r="G41" s="34" t="s">
        <v>121</v>
      </c>
      <c r="H41" s="34" t="s">
        <v>35</v>
      </c>
      <c r="I41" s="35" t="s">
        <v>36</v>
      </c>
      <c r="J41" s="35"/>
      <c r="K41" s="34">
        <v>170</v>
      </c>
      <c r="L41" s="34" t="str">
        <f>"100,7760"</f>
        <v>100,7760</v>
      </c>
      <c r="M41" s="34" t="s">
        <v>1005</v>
      </c>
    </row>
    <row r="42" spans="1:13" ht="12.75">
      <c r="A42" s="38" t="s">
        <v>1007</v>
      </c>
      <c r="B42" s="38" t="s">
        <v>1008</v>
      </c>
      <c r="C42" s="38" t="s">
        <v>1009</v>
      </c>
      <c r="D42" s="38" t="str">
        <f>"0,5974"</f>
        <v>0,5974</v>
      </c>
      <c r="E42" s="38" t="s">
        <v>127</v>
      </c>
      <c r="F42" s="38" t="s">
        <v>1010</v>
      </c>
      <c r="G42" s="38" t="s">
        <v>138</v>
      </c>
      <c r="H42" s="38" t="s">
        <v>92</v>
      </c>
      <c r="I42" s="38" t="s">
        <v>150</v>
      </c>
      <c r="J42" s="39"/>
      <c r="K42" s="38">
        <v>260</v>
      </c>
      <c r="L42" s="38" t="str">
        <f>"155,3240"</f>
        <v>155,3240</v>
      </c>
      <c r="M42" s="38" t="s">
        <v>1011</v>
      </c>
    </row>
    <row r="44" spans="1:12" ht="15">
      <c r="A44" s="61" t="s">
        <v>172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3" ht="12.75">
      <c r="A45" s="32" t="s">
        <v>817</v>
      </c>
      <c r="B45" s="32" t="s">
        <v>818</v>
      </c>
      <c r="C45" s="32" t="s">
        <v>819</v>
      </c>
      <c r="D45" s="32" t="str">
        <f>"0,5785"</f>
        <v>0,5785</v>
      </c>
      <c r="E45" s="32" t="s">
        <v>18</v>
      </c>
      <c r="F45" s="32" t="s">
        <v>19</v>
      </c>
      <c r="G45" s="32" t="s">
        <v>138</v>
      </c>
      <c r="H45" s="32" t="s">
        <v>93</v>
      </c>
      <c r="I45" s="32" t="s">
        <v>73</v>
      </c>
      <c r="J45" s="33"/>
      <c r="K45" s="32">
        <v>275</v>
      </c>
      <c r="L45" s="32" t="str">
        <f>"159,0875"</f>
        <v>159,0875</v>
      </c>
      <c r="M45" s="32" t="s">
        <v>54</v>
      </c>
    </row>
    <row r="47" spans="1:12" ht="15">
      <c r="A47" s="61" t="s">
        <v>189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3" ht="12.75">
      <c r="A48" s="34" t="s">
        <v>1012</v>
      </c>
      <c r="B48" s="34" t="s">
        <v>825</v>
      </c>
      <c r="C48" s="34" t="s">
        <v>826</v>
      </c>
      <c r="D48" s="34" t="str">
        <f>"0,5622"</f>
        <v>0,5622</v>
      </c>
      <c r="E48" s="34" t="s">
        <v>204</v>
      </c>
      <c r="F48" s="34" t="s">
        <v>787</v>
      </c>
      <c r="G48" s="34" t="s">
        <v>93</v>
      </c>
      <c r="H48" s="35"/>
      <c r="I48" s="35"/>
      <c r="J48" s="35"/>
      <c r="K48" s="34">
        <v>265</v>
      </c>
      <c r="L48" s="34" t="str">
        <f>"148,9830"</f>
        <v>148,9830</v>
      </c>
      <c r="M48" s="34" t="s">
        <v>827</v>
      </c>
    </row>
    <row r="49" spans="1:13" ht="12.75">
      <c r="A49" s="38" t="s">
        <v>1013</v>
      </c>
      <c r="B49" s="38" t="s">
        <v>830</v>
      </c>
      <c r="C49" s="38" t="s">
        <v>831</v>
      </c>
      <c r="D49" s="38" t="str">
        <f>"0,5670"</f>
        <v>0,5670</v>
      </c>
      <c r="E49" s="38" t="s">
        <v>361</v>
      </c>
      <c r="F49" s="38" t="s">
        <v>832</v>
      </c>
      <c r="G49" s="38" t="s">
        <v>22</v>
      </c>
      <c r="H49" s="38" t="s">
        <v>61</v>
      </c>
      <c r="I49" s="38" t="s">
        <v>179</v>
      </c>
      <c r="J49" s="39"/>
      <c r="K49" s="38">
        <v>192.5</v>
      </c>
      <c r="L49" s="38" t="str">
        <f>"109,1475"</f>
        <v>109,1475</v>
      </c>
      <c r="M49" s="38" t="s">
        <v>833</v>
      </c>
    </row>
    <row r="51" spans="1:2" ht="18">
      <c r="A51" s="41" t="s">
        <v>223</v>
      </c>
      <c r="B51" s="41"/>
    </row>
    <row r="52" spans="1:2" ht="15">
      <c r="A52" s="42" t="s">
        <v>224</v>
      </c>
      <c r="B52" s="42"/>
    </row>
    <row r="53" spans="1:2" ht="14.25">
      <c r="A53" s="44" t="s">
        <v>245</v>
      </c>
      <c r="B53" s="45"/>
    </row>
    <row r="54" spans="1:5" ht="15">
      <c r="A54" s="46" t="s">
        <v>226</v>
      </c>
      <c r="B54" s="46" t="s">
        <v>227</v>
      </c>
      <c r="C54" s="46" t="s">
        <v>228</v>
      </c>
      <c r="D54" s="46" t="s">
        <v>229</v>
      </c>
      <c r="E54" s="46" t="s">
        <v>230</v>
      </c>
    </row>
    <row r="55" spans="1:5" ht="12.75">
      <c r="A55" s="43" t="s">
        <v>919</v>
      </c>
      <c r="B55" s="31" t="s">
        <v>245</v>
      </c>
      <c r="C55" s="31" t="s">
        <v>835</v>
      </c>
      <c r="D55" s="31" t="s">
        <v>118</v>
      </c>
      <c r="E55" s="47" t="s">
        <v>1014</v>
      </c>
    </row>
    <row r="57" spans="1:2" ht="14.25">
      <c r="A57" s="44" t="s">
        <v>225</v>
      </c>
      <c r="B57" s="45"/>
    </row>
    <row r="58" spans="1:5" ht="15">
      <c r="A58" s="46" t="s">
        <v>226</v>
      </c>
      <c r="B58" s="46" t="s">
        <v>227</v>
      </c>
      <c r="C58" s="46" t="s">
        <v>228</v>
      </c>
      <c r="D58" s="46" t="s">
        <v>229</v>
      </c>
      <c r="E58" s="46" t="s">
        <v>230</v>
      </c>
    </row>
    <row r="59" spans="1:5" ht="12.75">
      <c r="A59" s="43" t="s">
        <v>924</v>
      </c>
      <c r="B59" s="31" t="s">
        <v>225</v>
      </c>
      <c r="C59" s="31" t="s">
        <v>837</v>
      </c>
      <c r="D59" s="31" t="s">
        <v>27</v>
      </c>
      <c r="E59" s="47" t="s">
        <v>1015</v>
      </c>
    </row>
    <row r="60" spans="1:5" ht="12.75">
      <c r="A60" s="43" t="s">
        <v>931</v>
      </c>
      <c r="B60" s="31" t="s">
        <v>225</v>
      </c>
      <c r="C60" s="31" t="s">
        <v>239</v>
      </c>
      <c r="D60" s="31" t="s">
        <v>118</v>
      </c>
      <c r="E60" s="47" t="s">
        <v>1016</v>
      </c>
    </row>
    <row r="61" spans="1:5" ht="12.75">
      <c r="A61" s="43" t="s">
        <v>935</v>
      </c>
      <c r="B61" s="31" t="s">
        <v>225</v>
      </c>
      <c r="C61" s="31" t="s">
        <v>239</v>
      </c>
      <c r="D61" s="31" t="s">
        <v>332</v>
      </c>
      <c r="E61" s="47" t="s">
        <v>1017</v>
      </c>
    </row>
    <row r="64" spans="1:2" ht="15">
      <c r="A64" s="42" t="s">
        <v>234</v>
      </c>
      <c r="B64" s="42"/>
    </row>
    <row r="65" spans="1:2" ht="14.25">
      <c r="A65" s="44" t="s">
        <v>405</v>
      </c>
      <c r="B65" s="45"/>
    </row>
    <row r="66" spans="1:5" ht="15">
      <c r="A66" s="46" t="s">
        <v>226</v>
      </c>
      <c r="B66" s="46" t="s">
        <v>227</v>
      </c>
      <c r="C66" s="46" t="s">
        <v>228</v>
      </c>
      <c r="D66" s="46" t="s">
        <v>229</v>
      </c>
      <c r="E66" s="46" t="s">
        <v>230</v>
      </c>
    </row>
    <row r="67" spans="1:5" ht="12.75">
      <c r="A67" s="43" t="s">
        <v>1001</v>
      </c>
      <c r="B67" s="31" t="s">
        <v>405</v>
      </c>
      <c r="C67" s="31" t="s">
        <v>236</v>
      </c>
      <c r="D67" s="31" t="s">
        <v>35</v>
      </c>
      <c r="E67" s="47" t="s">
        <v>1018</v>
      </c>
    </row>
    <row r="69" spans="1:2" ht="14.25">
      <c r="A69" s="44" t="s">
        <v>235</v>
      </c>
      <c r="B69" s="45"/>
    </row>
    <row r="70" spans="1:5" ht="15">
      <c r="A70" s="46" t="s">
        <v>226</v>
      </c>
      <c r="B70" s="46" t="s">
        <v>227</v>
      </c>
      <c r="C70" s="46" t="s">
        <v>228</v>
      </c>
      <c r="D70" s="46" t="s">
        <v>229</v>
      </c>
      <c r="E70" s="46" t="s">
        <v>230</v>
      </c>
    </row>
    <row r="71" spans="1:5" ht="12.75">
      <c r="A71" s="43" t="s">
        <v>940</v>
      </c>
      <c r="B71" s="31" t="s">
        <v>235</v>
      </c>
      <c r="C71" s="31" t="s">
        <v>629</v>
      </c>
      <c r="D71" s="31" t="s">
        <v>40</v>
      </c>
      <c r="E71" s="47" t="s">
        <v>1019</v>
      </c>
    </row>
    <row r="73" spans="1:2" ht="14.25">
      <c r="A73" s="44" t="s">
        <v>245</v>
      </c>
      <c r="B73" s="45"/>
    </row>
    <row r="74" spans="1:5" ht="15">
      <c r="A74" s="46" t="s">
        <v>226</v>
      </c>
      <c r="B74" s="46" t="s">
        <v>227</v>
      </c>
      <c r="C74" s="46" t="s">
        <v>228</v>
      </c>
      <c r="D74" s="46" t="s">
        <v>229</v>
      </c>
      <c r="E74" s="46" t="s">
        <v>230</v>
      </c>
    </row>
    <row r="75" spans="1:5" ht="12.75">
      <c r="A75" s="43" t="s">
        <v>963</v>
      </c>
      <c r="B75" s="31" t="s">
        <v>245</v>
      </c>
      <c r="C75" s="31" t="s">
        <v>246</v>
      </c>
      <c r="D75" s="31" t="s">
        <v>42</v>
      </c>
      <c r="E75" s="47" t="s">
        <v>1020</v>
      </c>
    </row>
    <row r="76" spans="1:5" ht="12.75">
      <c r="A76" s="43" t="s">
        <v>967</v>
      </c>
      <c r="B76" s="31" t="s">
        <v>245</v>
      </c>
      <c r="C76" s="31" t="s">
        <v>246</v>
      </c>
      <c r="D76" s="31" t="s">
        <v>41</v>
      </c>
      <c r="E76" s="47" t="s">
        <v>1021</v>
      </c>
    </row>
    <row r="77" spans="1:5" ht="12.75">
      <c r="A77" s="43" t="s">
        <v>971</v>
      </c>
      <c r="B77" s="31" t="s">
        <v>245</v>
      </c>
      <c r="C77" s="31" t="s">
        <v>246</v>
      </c>
      <c r="D77" s="31" t="s">
        <v>37</v>
      </c>
      <c r="E77" s="47" t="s">
        <v>1022</v>
      </c>
    </row>
    <row r="79" spans="1:2" ht="14.25">
      <c r="A79" s="44" t="s">
        <v>225</v>
      </c>
      <c r="B79" s="45"/>
    </row>
    <row r="80" spans="1:5" ht="15">
      <c r="A80" s="46" t="s">
        <v>226</v>
      </c>
      <c r="B80" s="46" t="s">
        <v>227</v>
      </c>
      <c r="C80" s="46" t="s">
        <v>228</v>
      </c>
      <c r="D80" s="46" t="s">
        <v>229</v>
      </c>
      <c r="E80" s="46" t="s">
        <v>230</v>
      </c>
    </row>
    <row r="81" spans="1:5" ht="12.75">
      <c r="A81" s="43" t="s">
        <v>995</v>
      </c>
      <c r="B81" s="31" t="s">
        <v>225</v>
      </c>
      <c r="C81" s="31" t="s">
        <v>242</v>
      </c>
      <c r="D81" s="31" t="s">
        <v>382</v>
      </c>
      <c r="E81" s="47" t="s">
        <v>1023</v>
      </c>
    </row>
    <row r="82" spans="1:5" ht="12.75">
      <c r="A82" s="43" t="s">
        <v>989</v>
      </c>
      <c r="B82" s="31" t="s">
        <v>225</v>
      </c>
      <c r="C82" s="31" t="s">
        <v>242</v>
      </c>
      <c r="D82" s="31" t="s">
        <v>993</v>
      </c>
      <c r="E82" s="47" t="s">
        <v>1024</v>
      </c>
    </row>
    <row r="83" spans="1:5" ht="12.75">
      <c r="A83" s="43" t="s">
        <v>816</v>
      </c>
      <c r="B83" s="31" t="s">
        <v>225</v>
      </c>
      <c r="C83" s="31" t="s">
        <v>249</v>
      </c>
      <c r="D83" s="31" t="s">
        <v>73</v>
      </c>
      <c r="E83" s="47" t="s">
        <v>1025</v>
      </c>
    </row>
    <row r="84" spans="1:5" ht="12.75">
      <c r="A84" s="43" t="s">
        <v>977</v>
      </c>
      <c r="B84" s="31" t="s">
        <v>225</v>
      </c>
      <c r="C84" s="31" t="s">
        <v>246</v>
      </c>
      <c r="D84" s="31" t="s">
        <v>178</v>
      </c>
      <c r="E84" s="47" t="s">
        <v>1026</v>
      </c>
    </row>
    <row r="85" spans="1:5" ht="12.75">
      <c r="A85" s="43" t="s">
        <v>333</v>
      </c>
      <c r="B85" s="31" t="s">
        <v>225</v>
      </c>
      <c r="C85" s="31" t="s">
        <v>274</v>
      </c>
      <c r="D85" s="31" t="s">
        <v>338</v>
      </c>
      <c r="E85" s="47" t="s">
        <v>1027</v>
      </c>
    </row>
    <row r="86" spans="1:5" ht="12.75">
      <c r="A86" s="43" t="s">
        <v>1006</v>
      </c>
      <c r="B86" s="31" t="s">
        <v>225</v>
      </c>
      <c r="C86" s="31" t="s">
        <v>236</v>
      </c>
      <c r="D86" s="31" t="s">
        <v>150</v>
      </c>
      <c r="E86" s="47" t="s">
        <v>1028</v>
      </c>
    </row>
    <row r="87" spans="1:5" ht="12.75">
      <c r="A87" s="43" t="s">
        <v>981</v>
      </c>
      <c r="B87" s="31" t="s">
        <v>225</v>
      </c>
      <c r="C87" s="31" t="s">
        <v>246</v>
      </c>
      <c r="D87" s="31" t="s">
        <v>178</v>
      </c>
      <c r="E87" s="47" t="s">
        <v>1029</v>
      </c>
    </row>
    <row r="88" spans="1:5" ht="12.75">
      <c r="A88" s="43" t="s">
        <v>823</v>
      </c>
      <c r="B88" s="31" t="s">
        <v>225</v>
      </c>
      <c r="C88" s="31" t="s">
        <v>263</v>
      </c>
      <c r="D88" s="31" t="s">
        <v>93</v>
      </c>
      <c r="E88" s="47" t="s">
        <v>1030</v>
      </c>
    </row>
    <row r="89" spans="1:5" ht="12.75">
      <c r="A89" s="43" t="s">
        <v>748</v>
      </c>
      <c r="B89" s="31" t="s">
        <v>225</v>
      </c>
      <c r="C89" s="31" t="s">
        <v>246</v>
      </c>
      <c r="D89" s="31" t="s">
        <v>42</v>
      </c>
      <c r="E89" s="47" t="s">
        <v>1031</v>
      </c>
    </row>
    <row r="90" spans="1:5" ht="12.75">
      <c r="A90" s="43" t="s">
        <v>945</v>
      </c>
      <c r="B90" s="31" t="s">
        <v>225</v>
      </c>
      <c r="C90" s="31" t="s">
        <v>239</v>
      </c>
      <c r="D90" s="31" t="s">
        <v>129</v>
      </c>
      <c r="E90" s="47" t="s">
        <v>1032</v>
      </c>
    </row>
    <row r="91" spans="1:5" ht="12.75">
      <c r="A91" s="43" t="s">
        <v>986</v>
      </c>
      <c r="B91" s="31" t="s">
        <v>225</v>
      </c>
      <c r="C91" s="31" t="s">
        <v>246</v>
      </c>
      <c r="D91" s="31" t="s">
        <v>37</v>
      </c>
      <c r="E91" s="47" t="s">
        <v>1033</v>
      </c>
    </row>
    <row r="92" spans="1:5" ht="12.75">
      <c r="A92" s="43" t="s">
        <v>958</v>
      </c>
      <c r="B92" s="31" t="s">
        <v>225</v>
      </c>
      <c r="C92" s="31" t="s">
        <v>274</v>
      </c>
      <c r="D92" s="31" t="s">
        <v>140</v>
      </c>
      <c r="E92" s="47" t="s">
        <v>1034</v>
      </c>
    </row>
    <row r="93" spans="1:5" ht="12.75">
      <c r="A93" s="43" t="s">
        <v>828</v>
      </c>
      <c r="B93" s="31" t="s">
        <v>225</v>
      </c>
      <c r="C93" s="31" t="s">
        <v>263</v>
      </c>
      <c r="D93" s="31" t="s">
        <v>179</v>
      </c>
      <c r="E93" s="47" t="s">
        <v>1035</v>
      </c>
    </row>
    <row r="94" spans="1:5" ht="12.75">
      <c r="A94" s="43" t="s">
        <v>949</v>
      </c>
      <c r="B94" s="31" t="s">
        <v>225</v>
      </c>
      <c r="C94" s="31" t="s">
        <v>239</v>
      </c>
      <c r="D94" s="31" t="s">
        <v>20</v>
      </c>
      <c r="E94" s="47" t="s">
        <v>1036</v>
      </c>
    </row>
    <row r="96" spans="1:2" ht="14.25">
      <c r="A96" s="44" t="s">
        <v>874</v>
      </c>
      <c r="B96" s="45"/>
    </row>
    <row r="97" spans="1:5" ht="15">
      <c r="A97" s="46" t="s">
        <v>226</v>
      </c>
      <c r="B97" s="46" t="s">
        <v>227</v>
      </c>
      <c r="C97" s="46" t="s">
        <v>228</v>
      </c>
      <c r="D97" s="46" t="s">
        <v>229</v>
      </c>
      <c r="E97" s="46" t="s">
        <v>230</v>
      </c>
    </row>
    <row r="98" spans="1:5" ht="12.75">
      <c r="A98" s="43" t="s">
        <v>954</v>
      </c>
      <c r="B98" s="31" t="s">
        <v>874</v>
      </c>
      <c r="C98" s="31" t="s">
        <v>239</v>
      </c>
      <c r="D98" s="31" t="s">
        <v>129</v>
      </c>
      <c r="E98" s="47" t="s">
        <v>1037</v>
      </c>
    </row>
    <row r="103" spans="1:2" ht="18">
      <c r="A103" s="41" t="s">
        <v>283</v>
      </c>
      <c r="B103" s="41"/>
    </row>
    <row r="104" spans="1:3" ht="15">
      <c r="A104" s="46" t="s">
        <v>284</v>
      </c>
      <c r="B104" s="46" t="s">
        <v>285</v>
      </c>
      <c r="C104" s="46" t="s">
        <v>286</v>
      </c>
    </row>
  </sheetData>
  <sheetProtection/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44:L44"/>
    <mergeCell ref="A47:L47"/>
    <mergeCell ref="A15:L15"/>
    <mergeCell ref="A18:L18"/>
    <mergeCell ref="A23:L23"/>
    <mergeCell ref="A27:L27"/>
    <mergeCell ref="A36:L36"/>
    <mergeCell ref="A40:L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1.62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3.2539062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21.375" style="31" bestFit="1" customWidth="1"/>
  </cols>
  <sheetData>
    <row r="1" spans="1:13" s="1" customFormat="1" ht="15" customHeight="1">
      <c r="A1" s="52" t="s">
        <v>1038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3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4" t="s">
        <v>878</v>
      </c>
      <c r="B6" s="34" t="s">
        <v>879</v>
      </c>
      <c r="C6" s="34" t="s">
        <v>880</v>
      </c>
      <c r="D6" s="34" t="str">
        <f>"0,6734"</f>
        <v>0,6734</v>
      </c>
      <c r="E6" s="34" t="s">
        <v>204</v>
      </c>
      <c r="F6" s="34" t="s">
        <v>650</v>
      </c>
      <c r="G6" s="34" t="s">
        <v>40</v>
      </c>
      <c r="H6" s="34" t="s">
        <v>41</v>
      </c>
      <c r="I6" s="34" t="s">
        <v>52</v>
      </c>
      <c r="J6" s="35"/>
      <c r="K6" s="34">
        <v>220</v>
      </c>
      <c r="L6" s="34" t="str">
        <f>"148,1480"</f>
        <v>148,1480</v>
      </c>
      <c r="M6" s="34" t="s">
        <v>54</v>
      </c>
    </row>
    <row r="7" spans="1:13" ht="12.75">
      <c r="A7" s="36" t="s">
        <v>463</v>
      </c>
      <c r="B7" s="36" t="s">
        <v>465</v>
      </c>
      <c r="C7" s="36" t="s">
        <v>466</v>
      </c>
      <c r="D7" s="36" t="str">
        <f>"0,6827"</f>
        <v>0,6827</v>
      </c>
      <c r="E7" s="36" t="s">
        <v>467</v>
      </c>
      <c r="F7" s="36" t="s">
        <v>468</v>
      </c>
      <c r="G7" s="37" t="s">
        <v>138</v>
      </c>
      <c r="H7" s="37" t="s">
        <v>138</v>
      </c>
      <c r="I7" s="37"/>
      <c r="J7" s="37"/>
      <c r="K7" s="36">
        <v>0</v>
      </c>
      <c r="L7" s="36" t="str">
        <f>"0,0000"</f>
        <v>0,0000</v>
      </c>
      <c r="M7" s="36" t="s">
        <v>54</v>
      </c>
    </row>
    <row r="8" spans="1:13" ht="12.75">
      <c r="A8" s="38" t="s">
        <v>881</v>
      </c>
      <c r="B8" s="38" t="s">
        <v>477</v>
      </c>
      <c r="C8" s="38" t="s">
        <v>458</v>
      </c>
      <c r="D8" s="38" t="str">
        <f>"0,6729"</f>
        <v>0,6729</v>
      </c>
      <c r="E8" s="38" t="s">
        <v>459</v>
      </c>
      <c r="F8" s="38" t="s">
        <v>460</v>
      </c>
      <c r="G8" s="38" t="s">
        <v>36</v>
      </c>
      <c r="H8" s="39"/>
      <c r="I8" s="39"/>
      <c r="J8" s="39"/>
      <c r="K8" s="38">
        <v>180</v>
      </c>
      <c r="L8" s="38" t="str">
        <f>"121,1220"</f>
        <v>121,1220</v>
      </c>
      <c r="M8" s="38" t="s">
        <v>462</v>
      </c>
    </row>
    <row r="10" spans="1:12" ht="15">
      <c r="A10" s="61" t="s">
        <v>68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3" ht="12.75">
      <c r="A11" s="32" t="s">
        <v>883</v>
      </c>
      <c r="B11" s="32" t="s">
        <v>884</v>
      </c>
      <c r="C11" s="32" t="s">
        <v>84</v>
      </c>
      <c r="D11" s="32" t="str">
        <f>"0,6417"</f>
        <v>0,6417</v>
      </c>
      <c r="E11" s="32" t="s">
        <v>737</v>
      </c>
      <c r="F11" s="32" t="s">
        <v>738</v>
      </c>
      <c r="G11" s="32" t="s">
        <v>52</v>
      </c>
      <c r="H11" s="32" t="s">
        <v>141</v>
      </c>
      <c r="I11" s="33" t="s">
        <v>885</v>
      </c>
      <c r="J11" s="33"/>
      <c r="K11" s="32">
        <v>235</v>
      </c>
      <c r="L11" s="32" t="str">
        <f>"150,7995"</f>
        <v>150,7995</v>
      </c>
      <c r="M11" s="32" t="s">
        <v>54</v>
      </c>
    </row>
    <row r="13" spans="1:12" ht="15">
      <c r="A13" s="61" t="s">
        <v>113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3" ht="12.75">
      <c r="A14" s="34" t="s">
        <v>887</v>
      </c>
      <c r="B14" s="34" t="s">
        <v>888</v>
      </c>
      <c r="C14" s="34" t="s">
        <v>889</v>
      </c>
      <c r="D14" s="34" t="str">
        <f>"0,6129"</f>
        <v>0,6129</v>
      </c>
      <c r="E14" s="34" t="s">
        <v>194</v>
      </c>
      <c r="F14" s="34" t="s">
        <v>890</v>
      </c>
      <c r="G14" s="34" t="s">
        <v>157</v>
      </c>
      <c r="H14" s="34" t="s">
        <v>891</v>
      </c>
      <c r="I14" s="35" t="s">
        <v>892</v>
      </c>
      <c r="J14" s="35"/>
      <c r="K14" s="34">
        <v>315</v>
      </c>
      <c r="L14" s="34" t="str">
        <f>"193,0635"</f>
        <v>193,0635</v>
      </c>
      <c r="M14" s="34" t="s">
        <v>723</v>
      </c>
    </row>
    <row r="15" spans="1:13" ht="12.75">
      <c r="A15" s="36" t="s">
        <v>894</v>
      </c>
      <c r="B15" s="36" t="s">
        <v>895</v>
      </c>
      <c r="C15" s="36" t="s">
        <v>896</v>
      </c>
      <c r="D15" s="36" t="str">
        <f>"0,6126"</f>
        <v>0,6126</v>
      </c>
      <c r="E15" s="36" t="s">
        <v>18</v>
      </c>
      <c r="F15" s="36" t="s">
        <v>19</v>
      </c>
      <c r="G15" s="36" t="s">
        <v>215</v>
      </c>
      <c r="H15" s="36" t="s">
        <v>178</v>
      </c>
      <c r="I15" s="36" t="s">
        <v>897</v>
      </c>
      <c r="J15" s="37"/>
      <c r="K15" s="36">
        <v>257.5</v>
      </c>
      <c r="L15" s="36" t="str">
        <f>"157,7445"</f>
        <v>157,7445</v>
      </c>
      <c r="M15" s="36" t="s">
        <v>898</v>
      </c>
    </row>
    <row r="16" spans="1:13" ht="12.75">
      <c r="A16" s="38" t="s">
        <v>900</v>
      </c>
      <c r="B16" s="38" t="s">
        <v>901</v>
      </c>
      <c r="C16" s="38" t="s">
        <v>759</v>
      </c>
      <c r="D16" s="38" t="str">
        <f>"0,6186"</f>
        <v>0,6186</v>
      </c>
      <c r="E16" s="38" t="s">
        <v>204</v>
      </c>
      <c r="F16" s="38" t="s">
        <v>650</v>
      </c>
      <c r="G16" s="38" t="s">
        <v>137</v>
      </c>
      <c r="H16" s="38" t="s">
        <v>138</v>
      </c>
      <c r="I16" s="39" t="s">
        <v>92</v>
      </c>
      <c r="J16" s="39"/>
      <c r="K16" s="38">
        <v>245</v>
      </c>
      <c r="L16" s="38" t="str">
        <f>"151,5570"</f>
        <v>151,5570</v>
      </c>
      <c r="M16" s="38" t="s">
        <v>902</v>
      </c>
    </row>
    <row r="18" spans="1:12" ht="15">
      <c r="A18" s="61" t="s">
        <v>145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3" ht="12.75">
      <c r="A19" s="32" t="s">
        <v>904</v>
      </c>
      <c r="B19" s="32" t="s">
        <v>905</v>
      </c>
      <c r="C19" s="32" t="s">
        <v>906</v>
      </c>
      <c r="D19" s="32" t="str">
        <f>"0,6062"</f>
        <v>0,6062</v>
      </c>
      <c r="E19" s="32" t="s">
        <v>194</v>
      </c>
      <c r="F19" s="32" t="s">
        <v>195</v>
      </c>
      <c r="G19" s="32" t="s">
        <v>75</v>
      </c>
      <c r="H19" s="33" t="s">
        <v>157</v>
      </c>
      <c r="I19" s="32" t="s">
        <v>157</v>
      </c>
      <c r="J19" s="33"/>
      <c r="K19" s="32">
        <v>300</v>
      </c>
      <c r="L19" s="32" t="str">
        <f>"181,8600"</f>
        <v>181,8600</v>
      </c>
      <c r="M19" s="32" t="s">
        <v>907</v>
      </c>
    </row>
    <row r="21" spans="1:12" ht="15">
      <c r="A21" s="61" t="s">
        <v>207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3" ht="12.75">
      <c r="A22" s="32" t="s">
        <v>908</v>
      </c>
      <c r="B22" s="32" t="s">
        <v>909</v>
      </c>
      <c r="C22" s="32" t="s">
        <v>910</v>
      </c>
      <c r="D22" s="32" t="str">
        <f>"0,5460"</f>
        <v>0,5460</v>
      </c>
      <c r="E22" s="32" t="s">
        <v>459</v>
      </c>
      <c r="F22" s="32" t="s">
        <v>460</v>
      </c>
      <c r="G22" s="32" t="s">
        <v>76</v>
      </c>
      <c r="H22" s="33"/>
      <c r="I22" s="33"/>
      <c r="J22" s="33"/>
      <c r="K22" s="32">
        <v>250</v>
      </c>
      <c r="L22" s="32" t="str">
        <f>"136,5000"</f>
        <v>136,5000</v>
      </c>
      <c r="M22" s="32" t="s">
        <v>462</v>
      </c>
    </row>
    <row r="25" spans="1:2" ht="18">
      <c r="A25" s="41" t="s">
        <v>223</v>
      </c>
      <c r="B25" s="41"/>
    </row>
    <row r="26" spans="1:2" ht="15">
      <c r="A26" s="42" t="s">
        <v>234</v>
      </c>
      <c r="B26" s="42"/>
    </row>
    <row r="27" spans="1:2" ht="14.25">
      <c r="A27" s="44" t="s">
        <v>245</v>
      </c>
      <c r="B27" s="45"/>
    </row>
    <row r="28" spans="1:5" ht="15">
      <c r="A28" s="46" t="s">
        <v>226</v>
      </c>
      <c r="B28" s="46" t="s">
        <v>227</v>
      </c>
      <c r="C28" s="46" t="s">
        <v>228</v>
      </c>
      <c r="D28" s="46" t="s">
        <v>229</v>
      </c>
      <c r="E28" s="46" t="s">
        <v>230</v>
      </c>
    </row>
    <row r="29" spans="1:5" ht="12.75">
      <c r="A29" s="43" t="s">
        <v>882</v>
      </c>
      <c r="B29" s="31" t="s">
        <v>245</v>
      </c>
      <c r="C29" s="31" t="s">
        <v>246</v>
      </c>
      <c r="D29" s="31" t="s">
        <v>141</v>
      </c>
      <c r="E29" s="47" t="s">
        <v>911</v>
      </c>
    </row>
    <row r="31" spans="1:2" ht="14.25">
      <c r="A31" s="44" t="s">
        <v>225</v>
      </c>
      <c r="B31" s="45"/>
    </row>
    <row r="32" spans="1:5" ht="15">
      <c r="A32" s="46" t="s">
        <v>226</v>
      </c>
      <c r="B32" s="46" t="s">
        <v>227</v>
      </c>
      <c r="C32" s="46" t="s">
        <v>228</v>
      </c>
      <c r="D32" s="46" t="s">
        <v>229</v>
      </c>
      <c r="E32" s="46" t="s">
        <v>230</v>
      </c>
    </row>
    <row r="33" spans="1:5" ht="12.75">
      <c r="A33" s="43" t="s">
        <v>886</v>
      </c>
      <c r="B33" s="31" t="s">
        <v>225</v>
      </c>
      <c r="C33" s="31" t="s">
        <v>242</v>
      </c>
      <c r="D33" s="31" t="s">
        <v>891</v>
      </c>
      <c r="E33" s="47" t="s">
        <v>912</v>
      </c>
    </row>
    <row r="34" spans="1:5" ht="12.75">
      <c r="A34" s="43" t="s">
        <v>903</v>
      </c>
      <c r="B34" s="31" t="s">
        <v>225</v>
      </c>
      <c r="C34" s="31" t="s">
        <v>236</v>
      </c>
      <c r="D34" s="31" t="s">
        <v>157</v>
      </c>
      <c r="E34" s="47" t="s">
        <v>913</v>
      </c>
    </row>
    <row r="35" spans="1:5" ht="12.75">
      <c r="A35" s="43" t="s">
        <v>893</v>
      </c>
      <c r="B35" s="31" t="s">
        <v>225</v>
      </c>
      <c r="C35" s="31" t="s">
        <v>242</v>
      </c>
      <c r="D35" s="31" t="s">
        <v>897</v>
      </c>
      <c r="E35" s="47" t="s">
        <v>914</v>
      </c>
    </row>
    <row r="36" spans="1:5" ht="12.75">
      <c r="A36" s="43" t="s">
        <v>899</v>
      </c>
      <c r="B36" s="31" t="s">
        <v>225</v>
      </c>
      <c r="C36" s="31" t="s">
        <v>242</v>
      </c>
      <c r="D36" s="31" t="s">
        <v>138</v>
      </c>
      <c r="E36" s="47" t="s">
        <v>915</v>
      </c>
    </row>
    <row r="37" spans="1:5" ht="12.75">
      <c r="A37" s="43" t="s">
        <v>877</v>
      </c>
      <c r="B37" s="31" t="s">
        <v>225</v>
      </c>
      <c r="C37" s="31" t="s">
        <v>274</v>
      </c>
      <c r="D37" s="31" t="s">
        <v>52</v>
      </c>
      <c r="E37" s="47" t="s">
        <v>916</v>
      </c>
    </row>
    <row r="38" spans="1:5" ht="12.75">
      <c r="A38" s="43" t="s">
        <v>801</v>
      </c>
      <c r="B38" s="31" t="s">
        <v>225</v>
      </c>
      <c r="C38" s="31" t="s">
        <v>256</v>
      </c>
      <c r="D38" s="31" t="s">
        <v>76</v>
      </c>
      <c r="E38" s="47" t="s">
        <v>917</v>
      </c>
    </row>
    <row r="40" spans="1:2" ht="14.25">
      <c r="A40" s="44" t="s">
        <v>281</v>
      </c>
      <c r="B40" s="45"/>
    </row>
    <row r="41" spans="1:5" ht="15">
      <c r="A41" s="46" t="s">
        <v>226</v>
      </c>
      <c r="B41" s="46" t="s">
        <v>227</v>
      </c>
      <c r="C41" s="46" t="s">
        <v>228</v>
      </c>
      <c r="D41" s="46" t="s">
        <v>229</v>
      </c>
      <c r="E41" s="46" t="s">
        <v>230</v>
      </c>
    </row>
    <row r="42" spans="1:5" ht="12.75">
      <c r="A42" s="43" t="s">
        <v>455</v>
      </c>
      <c r="B42" s="31" t="s">
        <v>281</v>
      </c>
      <c r="C42" s="31" t="s">
        <v>274</v>
      </c>
      <c r="D42" s="31" t="s">
        <v>36</v>
      </c>
      <c r="E42" s="47" t="s">
        <v>918</v>
      </c>
    </row>
    <row r="47" spans="1:2" ht="18">
      <c r="A47" s="41" t="s">
        <v>283</v>
      </c>
      <c r="B47" s="41"/>
    </row>
    <row r="48" spans="1:3" ht="15">
      <c r="A48" s="46" t="s">
        <v>284</v>
      </c>
      <c r="B48" s="46" t="s">
        <v>285</v>
      </c>
      <c r="C48" s="46" t="s">
        <v>286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8:L18"/>
    <mergeCell ref="A21:L21"/>
    <mergeCell ref="K3:K4"/>
    <mergeCell ref="L3:L4"/>
    <mergeCell ref="M3:M4"/>
    <mergeCell ref="A5:L5"/>
    <mergeCell ref="A10:L10"/>
    <mergeCell ref="A13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5.0039062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3.2539062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17.625" style="31" bestFit="1" customWidth="1"/>
  </cols>
  <sheetData>
    <row r="1" spans="1:13" s="1" customFormat="1" ht="15" customHeight="1">
      <c r="A1" s="52" t="s">
        <v>1042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2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636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638</v>
      </c>
      <c r="B6" s="32" t="s">
        <v>639</v>
      </c>
      <c r="C6" s="32" t="s">
        <v>640</v>
      </c>
      <c r="D6" s="32" t="str">
        <f>"1,3657"</f>
        <v>1,3657</v>
      </c>
      <c r="E6" s="32" t="s">
        <v>187</v>
      </c>
      <c r="F6" s="32" t="s">
        <v>187</v>
      </c>
      <c r="G6" s="33" t="s">
        <v>641</v>
      </c>
      <c r="H6" s="32" t="s">
        <v>642</v>
      </c>
      <c r="I6" s="33" t="s">
        <v>295</v>
      </c>
      <c r="J6" s="33"/>
      <c r="K6" s="32">
        <v>52.5</v>
      </c>
      <c r="L6" s="32" t="str">
        <f>"71,6993"</f>
        <v>71,6993</v>
      </c>
      <c r="M6" s="32" t="s">
        <v>643</v>
      </c>
    </row>
    <row r="8" spans="1:12" ht="15">
      <c r="A8" s="61" t="s">
        <v>644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2.75">
      <c r="A9" s="32" t="s">
        <v>646</v>
      </c>
      <c r="B9" s="32" t="s">
        <v>647</v>
      </c>
      <c r="C9" s="32" t="s">
        <v>648</v>
      </c>
      <c r="D9" s="32" t="str">
        <f>"1,2504"</f>
        <v>1,2504</v>
      </c>
      <c r="E9" s="32" t="s">
        <v>649</v>
      </c>
      <c r="F9" s="32" t="s">
        <v>650</v>
      </c>
      <c r="G9" s="32" t="s">
        <v>641</v>
      </c>
      <c r="H9" s="33" t="s">
        <v>651</v>
      </c>
      <c r="I9" s="32" t="s">
        <v>651</v>
      </c>
      <c r="J9" s="33"/>
      <c r="K9" s="32">
        <v>50</v>
      </c>
      <c r="L9" s="32" t="str">
        <f>"62,5200"</f>
        <v>62,5200</v>
      </c>
      <c r="M9" s="32" t="s">
        <v>54</v>
      </c>
    </row>
    <row r="11" spans="1:12" ht="15">
      <c r="A11" s="61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3" ht="12.75">
      <c r="A12" s="32" t="s">
        <v>653</v>
      </c>
      <c r="B12" s="32" t="s">
        <v>654</v>
      </c>
      <c r="C12" s="32" t="s">
        <v>655</v>
      </c>
      <c r="D12" s="32" t="str">
        <f>"0,9209"</f>
        <v>0,9209</v>
      </c>
      <c r="E12" s="32" t="s">
        <v>656</v>
      </c>
      <c r="F12" s="32" t="s">
        <v>657</v>
      </c>
      <c r="G12" s="32" t="s">
        <v>363</v>
      </c>
      <c r="H12" s="32" t="s">
        <v>658</v>
      </c>
      <c r="I12" s="33" t="s">
        <v>332</v>
      </c>
      <c r="J12" s="33"/>
      <c r="K12" s="32">
        <v>97.5</v>
      </c>
      <c r="L12" s="32" t="str">
        <f>"89,7877"</f>
        <v>89,7877</v>
      </c>
      <c r="M12" s="32" t="s">
        <v>54</v>
      </c>
    </row>
    <row r="14" spans="1:12" ht="15">
      <c r="A14" s="61" t="s">
        <v>439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3" ht="12.75">
      <c r="A15" s="32" t="s">
        <v>660</v>
      </c>
      <c r="B15" s="32" t="s">
        <v>661</v>
      </c>
      <c r="C15" s="32" t="s">
        <v>662</v>
      </c>
      <c r="D15" s="32" t="str">
        <f>"0,7872"</f>
        <v>0,7872</v>
      </c>
      <c r="E15" s="32" t="s">
        <v>452</v>
      </c>
      <c r="F15" s="32" t="s">
        <v>663</v>
      </c>
      <c r="G15" s="32" t="s">
        <v>363</v>
      </c>
      <c r="H15" s="32" t="s">
        <v>332</v>
      </c>
      <c r="I15" s="33" t="s">
        <v>664</v>
      </c>
      <c r="J15" s="33"/>
      <c r="K15" s="32">
        <v>100</v>
      </c>
      <c r="L15" s="32" t="str">
        <f>"78,7200"</f>
        <v>78,7200</v>
      </c>
      <c r="M15" s="32" t="s">
        <v>54</v>
      </c>
    </row>
    <row r="17" spans="1:12" ht="15">
      <c r="A17" s="61" t="s">
        <v>30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3" ht="12.75">
      <c r="A18" s="34" t="s">
        <v>666</v>
      </c>
      <c r="B18" s="34" t="s">
        <v>667</v>
      </c>
      <c r="C18" s="34" t="s">
        <v>668</v>
      </c>
      <c r="D18" s="34" t="str">
        <f>"0,7561"</f>
        <v>0,7561</v>
      </c>
      <c r="E18" s="34" t="s">
        <v>204</v>
      </c>
      <c r="F18" s="34" t="s">
        <v>669</v>
      </c>
      <c r="G18" s="34" t="s">
        <v>313</v>
      </c>
      <c r="H18" s="34" t="s">
        <v>670</v>
      </c>
      <c r="I18" s="35" t="s">
        <v>671</v>
      </c>
      <c r="J18" s="35"/>
      <c r="K18" s="34">
        <v>87.5</v>
      </c>
      <c r="L18" s="34" t="str">
        <f>"66,1587"</f>
        <v>66,1587</v>
      </c>
      <c r="M18" s="34" t="s">
        <v>672</v>
      </c>
    </row>
    <row r="19" spans="1:13" ht="12.75">
      <c r="A19" s="36" t="s">
        <v>674</v>
      </c>
      <c r="B19" s="36" t="s">
        <v>675</v>
      </c>
      <c r="C19" s="36" t="s">
        <v>676</v>
      </c>
      <c r="D19" s="36" t="str">
        <f>"0,7406"</f>
        <v>0,7406</v>
      </c>
      <c r="E19" s="36" t="s">
        <v>204</v>
      </c>
      <c r="F19" s="36" t="s">
        <v>677</v>
      </c>
      <c r="G19" s="36" t="s">
        <v>163</v>
      </c>
      <c r="H19" s="37" t="s">
        <v>121</v>
      </c>
      <c r="I19" s="37" t="s">
        <v>121</v>
      </c>
      <c r="J19" s="37"/>
      <c r="K19" s="36">
        <v>155</v>
      </c>
      <c r="L19" s="36" t="str">
        <f>"114,7930"</f>
        <v>114,7930</v>
      </c>
      <c r="M19" s="36" t="s">
        <v>678</v>
      </c>
    </row>
    <row r="20" spans="1:13" ht="12.75">
      <c r="A20" s="36" t="s">
        <v>680</v>
      </c>
      <c r="B20" s="36" t="s">
        <v>681</v>
      </c>
      <c r="C20" s="36" t="s">
        <v>682</v>
      </c>
      <c r="D20" s="36" t="str">
        <f>"0,7193"</f>
        <v>0,7193</v>
      </c>
      <c r="E20" s="36" t="s">
        <v>459</v>
      </c>
      <c r="F20" s="36" t="s">
        <v>460</v>
      </c>
      <c r="G20" s="36" t="s">
        <v>51</v>
      </c>
      <c r="H20" s="37" t="s">
        <v>20</v>
      </c>
      <c r="I20" s="36" t="s">
        <v>20</v>
      </c>
      <c r="J20" s="37"/>
      <c r="K20" s="36">
        <v>150</v>
      </c>
      <c r="L20" s="36" t="str">
        <f>"107,8950"</f>
        <v>107,8950</v>
      </c>
      <c r="M20" s="36" t="s">
        <v>683</v>
      </c>
    </row>
    <row r="21" spans="1:13" ht="12.75">
      <c r="A21" s="36" t="s">
        <v>685</v>
      </c>
      <c r="B21" s="36" t="s">
        <v>686</v>
      </c>
      <c r="C21" s="36" t="s">
        <v>687</v>
      </c>
      <c r="D21" s="36" t="str">
        <f>"0,7200"</f>
        <v>0,7200</v>
      </c>
      <c r="E21" s="36" t="s">
        <v>18</v>
      </c>
      <c r="F21" s="36" t="s">
        <v>18</v>
      </c>
      <c r="G21" s="36" t="s">
        <v>118</v>
      </c>
      <c r="H21" s="37" t="s">
        <v>26</v>
      </c>
      <c r="I21" s="37" t="s">
        <v>26</v>
      </c>
      <c r="J21" s="37"/>
      <c r="K21" s="36">
        <v>130</v>
      </c>
      <c r="L21" s="36" t="str">
        <f>"93,6000"</f>
        <v>93,6000</v>
      </c>
      <c r="M21" s="36" t="s">
        <v>54</v>
      </c>
    </row>
    <row r="22" spans="1:13" ht="12.75">
      <c r="A22" s="36" t="s">
        <v>689</v>
      </c>
      <c r="B22" s="36" t="s">
        <v>690</v>
      </c>
      <c r="C22" s="36" t="s">
        <v>691</v>
      </c>
      <c r="D22" s="36" t="str">
        <f>"0,7166"</f>
        <v>0,7166</v>
      </c>
      <c r="E22" s="36" t="s">
        <v>18</v>
      </c>
      <c r="F22" s="36" t="s">
        <v>19</v>
      </c>
      <c r="G22" s="36" t="s">
        <v>21</v>
      </c>
      <c r="H22" s="36" t="s">
        <v>490</v>
      </c>
      <c r="I22" s="37" t="s">
        <v>35</v>
      </c>
      <c r="J22" s="37"/>
      <c r="K22" s="36">
        <v>167.5</v>
      </c>
      <c r="L22" s="36" t="str">
        <f>"120,0305"</f>
        <v>120,0305</v>
      </c>
      <c r="M22" s="36" t="s">
        <v>54</v>
      </c>
    </row>
    <row r="23" spans="1:13" ht="12.75">
      <c r="A23" s="36" t="s">
        <v>679</v>
      </c>
      <c r="B23" s="36" t="s">
        <v>692</v>
      </c>
      <c r="C23" s="36" t="s">
        <v>682</v>
      </c>
      <c r="D23" s="36" t="str">
        <f>"0,7193"</f>
        <v>0,7193</v>
      </c>
      <c r="E23" s="36" t="s">
        <v>459</v>
      </c>
      <c r="F23" s="36" t="s">
        <v>460</v>
      </c>
      <c r="G23" s="36" t="s">
        <v>51</v>
      </c>
      <c r="H23" s="37" t="s">
        <v>20</v>
      </c>
      <c r="I23" s="36" t="s">
        <v>20</v>
      </c>
      <c r="J23" s="37"/>
      <c r="K23" s="36">
        <v>150</v>
      </c>
      <c r="L23" s="36" t="str">
        <f>"107,8950"</f>
        <v>107,8950</v>
      </c>
      <c r="M23" s="36" t="s">
        <v>683</v>
      </c>
    </row>
    <row r="24" spans="1:13" ht="12.75">
      <c r="A24" s="38" t="s">
        <v>694</v>
      </c>
      <c r="B24" s="38" t="s">
        <v>695</v>
      </c>
      <c r="C24" s="38" t="s">
        <v>696</v>
      </c>
      <c r="D24" s="38" t="str">
        <f>"0,7337"</f>
        <v>0,7337</v>
      </c>
      <c r="E24" s="38" t="s">
        <v>697</v>
      </c>
      <c r="F24" s="38" t="s">
        <v>698</v>
      </c>
      <c r="G24" s="38" t="s">
        <v>38</v>
      </c>
      <c r="H24" s="39" t="s">
        <v>118</v>
      </c>
      <c r="I24" s="39" t="s">
        <v>26</v>
      </c>
      <c r="J24" s="39"/>
      <c r="K24" s="38">
        <v>120</v>
      </c>
      <c r="L24" s="38" t="str">
        <f>"88,0440"</f>
        <v>88,0440</v>
      </c>
      <c r="M24" s="38" t="s">
        <v>54</v>
      </c>
    </row>
    <row r="26" spans="1:12" ht="15">
      <c r="A26" s="61" t="s">
        <v>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3" ht="12.75">
      <c r="A27" s="34" t="s">
        <v>700</v>
      </c>
      <c r="B27" s="34" t="s">
        <v>701</v>
      </c>
      <c r="C27" s="34" t="s">
        <v>458</v>
      </c>
      <c r="D27" s="34" t="str">
        <f>"0,6729"</f>
        <v>0,6729</v>
      </c>
      <c r="E27" s="34" t="s">
        <v>18</v>
      </c>
      <c r="F27" s="34" t="s">
        <v>19</v>
      </c>
      <c r="G27" s="35" t="s">
        <v>85</v>
      </c>
      <c r="H27" s="34" t="s">
        <v>85</v>
      </c>
      <c r="I27" s="35" t="s">
        <v>64</v>
      </c>
      <c r="J27" s="35"/>
      <c r="K27" s="34">
        <v>132.5</v>
      </c>
      <c r="L27" s="34" t="str">
        <f>"89,1593"</f>
        <v>89,1593</v>
      </c>
      <c r="M27" s="34" t="s">
        <v>702</v>
      </c>
    </row>
    <row r="28" spans="1:13" ht="12.75">
      <c r="A28" s="36" t="s">
        <v>704</v>
      </c>
      <c r="B28" s="36" t="s">
        <v>705</v>
      </c>
      <c r="C28" s="36" t="s">
        <v>458</v>
      </c>
      <c r="D28" s="36" t="str">
        <f>"0,6729"</f>
        <v>0,6729</v>
      </c>
      <c r="E28" s="36" t="s">
        <v>18</v>
      </c>
      <c r="F28" s="36" t="s">
        <v>18</v>
      </c>
      <c r="G28" s="37" t="s">
        <v>38</v>
      </c>
      <c r="H28" s="36" t="s">
        <v>38</v>
      </c>
      <c r="I28" s="37" t="s">
        <v>706</v>
      </c>
      <c r="J28" s="37"/>
      <c r="K28" s="36">
        <v>120</v>
      </c>
      <c r="L28" s="36" t="str">
        <f>"80,7480"</f>
        <v>80,7480</v>
      </c>
      <c r="M28" s="36" t="s">
        <v>54</v>
      </c>
    </row>
    <row r="29" spans="1:13" ht="12.75">
      <c r="A29" s="36" t="s">
        <v>708</v>
      </c>
      <c r="B29" s="36" t="s">
        <v>709</v>
      </c>
      <c r="C29" s="36" t="s">
        <v>49</v>
      </c>
      <c r="D29" s="36" t="str">
        <f>"0,6719"</f>
        <v>0,6719</v>
      </c>
      <c r="E29" s="36" t="s">
        <v>204</v>
      </c>
      <c r="F29" s="36" t="s">
        <v>669</v>
      </c>
      <c r="G29" s="36" t="s">
        <v>64</v>
      </c>
      <c r="H29" s="36" t="s">
        <v>163</v>
      </c>
      <c r="I29" s="37" t="s">
        <v>121</v>
      </c>
      <c r="J29" s="37"/>
      <c r="K29" s="36">
        <v>155</v>
      </c>
      <c r="L29" s="36" t="str">
        <f>"104,1445"</f>
        <v>104,1445</v>
      </c>
      <c r="M29" s="36" t="s">
        <v>54</v>
      </c>
    </row>
    <row r="30" spans="1:13" ht="12.75">
      <c r="A30" s="36" t="s">
        <v>711</v>
      </c>
      <c r="B30" s="36" t="s">
        <v>712</v>
      </c>
      <c r="C30" s="36" t="s">
        <v>713</v>
      </c>
      <c r="D30" s="36" t="str">
        <f>"0,6939"</f>
        <v>0,6939</v>
      </c>
      <c r="E30" s="36" t="s">
        <v>18</v>
      </c>
      <c r="F30" s="36" t="s">
        <v>18</v>
      </c>
      <c r="G30" s="36" t="s">
        <v>27</v>
      </c>
      <c r="H30" s="36" t="s">
        <v>64</v>
      </c>
      <c r="I30" s="37" t="s">
        <v>471</v>
      </c>
      <c r="J30" s="37"/>
      <c r="K30" s="36">
        <v>145</v>
      </c>
      <c r="L30" s="36" t="str">
        <f>"100,6155"</f>
        <v>100,6155</v>
      </c>
      <c r="M30" s="36" t="s">
        <v>54</v>
      </c>
    </row>
    <row r="31" spans="1:13" ht="12.75">
      <c r="A31" s="36" t="s">
        <v>715</v>
      </c>
      <c r="B31" s="36" t="s">
        <v>716</v>
      </c>
      <c r="C31" s="36" t="s">
        <v>717</v>
      </c>
      <c r="D31" s="36" t="str">
        <f>"0,6704"</f>
        <v>0,6704</v>
      </c>
      <c r="E31" s="36" t="s">
        <v>292</v>
      </c>
      <c r="F31" s="36" t="s">
        <v>293</v>
      </c>
      <c r="G31" s="36" t="s">
        <v>26</v>
      </c>
      <c r="H31" s="36" t="s">
        <v>27</v>
      </c>
      <c r="I31" s="37" t="s">
        <v>64</v>
      </c>
      <c r="J31" s="37"/>
      <c r="K31" s="36">
        <v>140</v>
      </c>
      <c r="L31" s="36" t="str">
        <f>"93,8560"</f>
        <v>93,8560</v>
      </c>
      <c r="M31" s="36" t="s">
        <v>718</v>
      </c>
    </row>
    <row r="32" spans="1:13" ht="12.75">
      <c r="A32" s="36" t="s">
        <v>720</v>
      </c>
      <c r="B32" s="36" t="s">
        <v>721</v>
      </c>
      <c r="C32" s="36" t="s">
        <v>722</v>
      </c>
      <c r="D32" s="36" t="str">
        <f>"0,6806"</f>
        <v>0,6806</v>
      </c>
      <c r="E32" s="36" t="s">
        <v>18</v>
      </c>
      <c r="F32" s="36" t="s">
        <v>19</v>
      </c>
      <c r="G32" s="36" t="s">
        <v>26</v>
      </c>
      <c r="H32" s="37" t="s">
        <v>27</v>
      </c>
      <c r="I32" s="37" t="s">
        <v>27</v>
      </c>
      <c r="J32" s="37"/>
      <c r="K32" s="36">
        <v>135</v>
      </c>
      <c r="L32" s="36" t="str">
        <f>"91,8810"</f>
        <v>91,8810</v>
      </c>
      <c r="M32" s="36" t="s">
        <v>723</v>
      </c>
    </row>
    <row r="33" spans="1:13" ht="12.75">
      <c r="A33" s="36" t="s">
        <v>725</v>
      </c>
      <c r="B33" s="36" t="s">
        <v>726</v>
      </c>
      <c r="C33" s="36" t="s">
        <v>727</v>
      </c>
      <c r="D33" s="36" t="str">
        <f>"0,6749"</f>
        <v>0,6749</v>
      </c>
      <c r="E33" s="36" t="s">
        <v>212</v>
      </c>
      <c r="F33" s="36" t="s">
        <v>213</v>
      </c>
      <c r="G33" s="36" t="s">
        <v>27</v>
      </c>
      <c r="H33" s="37" t="s">
        <v>64</v>
      </c>
      <c r="I33" s="36" t="s">
        <v>64</v>
      </c>
      <c r="J33" s="37"/>
      <c r="K33" s="36">
        <v>145</v>
      </c>
      <c r="L33" s="36" t="str">
        <f>"97,8605"</f>
        <v>97,8605</v>
      </c>
      <c r="M33" s="36" t="s">
        <v>54</v>
      </c>
    </row>
    <row r="34" spans="1:13" ht="12.75">
      <c r="A34" s="36" t="s">
        <v>729</v>
      </c>
      <c r="B34" s="36" t="s">
        <v>730</v>
      </c>
      <c r="C34" s="36" t="s">
        <v>717</v>
      </c>
      <c r="D34" s="36" t="str">
        <f>"0,6704"</f>
        <v>0,6704</v>
      </c>
      <c r="E34" s="36" t="s">
        <v>731</v>
      </c>
      <c r="F34" s="36" t="s">
        <v>732</v>
      </c>
      <c r="G34" s="36" t="s">
        <v>85</v>
      </c>
      <c r="H34" s="36" t="s">
        <v>26</v>
      </c>
      <c r="I34" s="37" t="s">
        <v>476</v>
      </c>
      <c r="J34" s="37"/>
      <c r="K34" s="36">
        <v>135</v>
      </c>
      <c r="L34" s="36" t="str">
        <f>"90,5040"</f>
        <v>90,5040</v>
      </c>
      <c r="M34" s="36" t="s">
        <v>54</v>
      </c>
    </row>
    <row r="35" spans="1:13" ht="12.75">
      <c r="A35" s="38" t="s">
        <v>734</v>
      </c>
      <c r="B35" s="38" t="s">
        <v>735</v>
      </c>
      <c r="C35" s="38" t="s">
        <v>736</v>
      </c>
      <c r="D35" s="38" t="str">
        <f>"0,6854"</f>
        <v>0,6854</v>
      </c>
      <c r="E35" s="38" t="s">
        <v>737</v>
      </c>
      <c r="F35" s="38" t="s">
        <v>738</v>
      </c>
      <c r="G35" s="38" t="s">
        <v>38</v>
      </c>
      <c r="H35" s="38" t="s">
        <v>706</v>
      </c>
      <c r="I35" s="39" t="s">
        <v>64</v>
      </c>
      <c r="J35" s="39"/>
      <c r="K35" s="38">
        <v>127.5</v>
      </c>
      <c r="L35" s="38" t="str">
        <f>"87,3885"</f>
        <v>87,3885</v>
      </c>
      <c r="M35" s="38" t="s">
        <v>54</v>
      </c>
    </row>
    <row r="37" spans="1:12" ht="15">
      <c r="A37" s="61" t="s">
        <v>68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3" ht="12.75">
      <c r="A38" s="34" t="s">
        <v>740</v>
      </c>
      <c r="B38" s="34" t="s">
        <v>741</v>
      </c>
      <c r="C38" s="34" t="s">
        <v>742</v>
      </c>
      <c r="D38" s="34" t="str">
        <f>"0,6479"</f>
        <v>0,6479</v>
      </c>
      <c r="E38" s="34" t="s">
        <v>18</v>
      </c>
      <c r="F38" s="34" t="s">
        <v>18</v>
      </c>
      <c r="G38" s="34" t="s">
        <v>39</v>
      </c>
      <c r="H38" s="35" t="s">
        <v>118</v>
      </c>
      <c r="I38" s="34" t="s">
        <v>118</v>
      </c>
      <c r="J38" s="35"/>
      <c r="K38" s="34">
        <v>130</v>
      </c>
      <c r="L38" s="34" t="str">
        <f>"84,2270"</f>
        <v>84,2270</v>
      </c>
      <c r="M38" s="34" t="s">
        <v>54</v>
      </c>
    </row>
    <row r="39" spans="1:13" ht="12.75">
      <c r="A39" s="36" t="s">
        <v>744</v>
      </c>
      <c r="B39" s="36" t="s">
        <v>745</v>
      </c>
      <c r="C39" s="36" t="s">
        <v>746</v>
      </c>
      <c r="D39" s="36" t="str">
        <f>"0,6410"</f>
        <v>0,6410</v>
      </c>
      <c r="E39" s="36" t="s">
        <v>204</v>
      </c>
      <c r="F39" s="36" t="s">
        <v>747</v>
      </c>
      <c r="G39" s="36" t="s">
        <v>35</v>
      </c>
      <c r="H39" s="36" t="s">
        <v>36</v>
      </c>
      <c r="I39" s="37" t="s">
        <v>526</v>
      </c>
      <c r="J39" s="37"/>
      <c r="K39" s="36">
        <v>180</v>
      </c>
      <c r="L39" s="36" t="str">
        <f>"115,3800"</f>
        <v>115,3800</v>
      </c>
      <c r="M39" s="36" t="s">
        <v>54</v>
      </c>
    </row>
    <row r="40" spans="1:13" ht="12.75">
      <c r="A40" s="36" t="s">
        <v>749</v>
      </c>
      <c r="B40" s="36" t="s">
        <v>750</v>
      </c>
      <c r="C40" s="36" t="s">
        <v>751</v>
      </c>
      <c r="D40" s="36" t="str">
        <f>"0,6545"</f>
        <v>0,6545</v>
      </c>
      <c r="E40" s="36" t="s">
        <v>514</v>
      </c>
      <c r="F40" s="36" t="s">
        <v>515</v>
      </c>
      <c r="G40" s="36" t="s">
        <v>85</v>
      </c>
      <c r="H40" s="36" t="s">
        <v>476</v>
      </c>
      <c r="I40" s="36" t="s">
        <v>65</v>
      </c>
      <c r="J40" s="37"/>
      <c r="K40" s="36">
        <v>152.5</v>
      </c>
      <c r="L40" s="36" t="str">
        <f>"99,8113"</f>
        <v>99,8113</v>
      </c>
      <c r="M40" s="36" t="s">
        <v>516</v>
      </c>
    </row>
    <row r="41" spans="1:13" ht="12.75">
      <c r="A41" s="38" t="s">
        <v>753</v>
      </c>
      <c r="B41" s="38" t="s">
        <v>754</v>
      </c>
      <c r="C41" s="38" t="s">
        <v>755</v>
      </c>
      <c r="D41" s="38" t="str">
        <f>"0,6451"</f>
        <v>0,6451</v>
      </c>
      <c r="E41" s="38" t="s">
        <v>18</v>
      </c>
      <c r="F41" s="38" t="s">
        <v>18</v>
      </c>
      <c r="G41" s="39" t="s">
        <v>26</v>
      </c>
      <c r="H41" s="38" t="s">
        <v>51</v>
      </c>
      <c r="I41" s="39" t="s">
        <v>65</v>
      </c>
      <c r="J41" s="39"/>
      <c r="K41" s="38">
        <v>142.5</v>
      </c>
      <c r="L41" s="38" t="str">
        <f>"91,9267"</f>
        <v>91,9267</v>
      </c>
      <c r="M41" s="38" t="s">
        <v>54</v>
      </c>
    </row>
    <row r="43" spans="1:12" ht="15">
      <c r="A43" s="61" t="s">
        <v>113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3" ht="12.75">
      <c r="A44" s="34" t="s">
        <v>757</v>
      </c>
      <c r="B44" s="34" t="s">
        <v>758</v>
      </c>
      <c r="C44" s="34" t="s">
        <v>759</v>
      </c>
      <c r="D44" s="34" t="str">
        <f>"0,6186"</f>
        <v>0,6186</v>
      </c>
      <c r="E44" s="34" t="s">
        <v>204</v>
      </c>
      <c r="F44" s="34" t="s">
        <v>760</v>
      </c>
      <c r="G44" s="34" t="s">
        <v>37</v>
      </c>
      <c r="H44" s="34" t="s">
        <v>62</v>
      </c>
      <c r="I44" s="34" t="s">
        <v>40</v>
      </c>
      <c r="J44" s="35"/>
      <c r="K44" s="34">
        <v>200</v>
      </c>
      <c r="L44" s="34" t="str">
        <f>"123,7200"</f>
        <v>123,7200</v>
      </c>
      <c r="M44" s="34" t="s">
        <v>54</v>
      </c>
    </row>
    <row r="45" spans="1:13" ht="12.75">
      <c r="A45" s="36" t="s">
        <v>756</v>
      </c>
      <c r="B45" s="36" t="s">
        <v>761</v>
      </c>
      <c r="C45" s="36" t="s">
        <v>759</v>
      </c>
      <c r="D45" s="36" t="str">
        <f>"0,6186"</f>
        <v>0,6186</v>
      </c>
      <c r="E45" s="36" t="s">
        <v>204</v>
      </c>
      <c r="F45" s="36" t="s">
        <v>760</v>
      </c>
      <c r="G45" s="36" t="s">
        <v>37</v>
      </c>
      <c r="H45" s="36" t="s">
        <v>62</v>
      </c>
      <c r="I45" s="36" t="s">
        <v>40</v>
      </c>
      <c r="J45" s="37"/>
      <c r="K45" s="36">
        <v>200</v>
      </c>
      <c r="L45" s="36" t="str">
        <f>"123,7200"</f>
        <v>123,7200</v>
      </c>
      <c r="M45" s="36" t="s">
        <v>54</v>
      </c>
    </row>
    <row r="46" spans="1:13" ht="12.75">
      <c r="A46" s="36" t="s">
        <v>763</v>
      </c>
      <c r="B46" s="36" t="s">
        <v>764</v>
      </c>
      <c r="C46" s="36" t="s">
        <v>765</v>
      </c>
      <c r="D46" s="36" t="str">
        <f>"0,6101"</f>
        <v>0,6101</v>
      </c>
      <c r="E46" s="36" t="s">
        <v>18</v>
      </c>
      <c r="F46" s="36" t="s">
        <v>19</v>
      </c>
      <c r="G46" s="36" t="s">
        <v>35</v>
      </c>
      <c r="H46" s="36" t="s">
        <v>36</v>
      </c>
      <c r="I46" s="37" t="s">
        <v>37</v>
      </c>
      <c r="J46" s="37"/>
      <c r="K46" s="36">
        <v>180</v>
      </c>
      <c r="L46" s="36" t="str">
        <f>"109,8180"</f>
        <v>109,8180</v>
      </c>
      <c r="M46" s="36" t="s">
        <v>541</v>
      </c>
    </row>
    <row r="47" spans="1:13" ht="12.75">
      <c r="A47" s="36" t="s">
        <v>767</v>
      </c>
      <c r="B47" s="36" t="s">
        <v>768</v>
      </c>
      <c r="C47" s="36" t="s">
        <v>769</v>
      </c>
      <c r="D47" s="36" t="str">
        <f>"0,6123"</f>
        <v>0,6123</v>
      </c>
      <c r="E47" s="36" t="s">
        <v>204</v>
      </c>
      <c r="F47" s="36" t="s">
        <v>677</v>
      </c>
      <c r="G47" s="36" t="s">
        <v>140</v>
      </c>
      <c r="H47" s="36" t="s">
        <v>490</v>
      </c>
      <c r="I47" s="36" t="s">
        <v>461</v>
      </c>
      <c r="J47" s="37"/>
      <c r="K47" s="36">
        <v>172.5</v>
      </c>
      <c r="L47" s="36" t="str">
        <f>"105,6217"</f>
        <v>105,6217</v>
      </c>
      <c r="M47" s="36" t="s">
        <v>54</v>
      </c>
    </row>
    <row r="48" spans="1:13" ht="12.75">
      <c r="A48" s="36" t="s">
        <v>771</v>
      </c>
      <c r="B48" s="36" t="s">
        <v>772</v>
      </c>
      <c r="C48" s="36" t="s">
        <v>773</v>
      </c>
      <c r="D48" s="36" t="str">
        <f>"0,6169"</f>
        <v>0,6169</v>
      </c>
      <c r="E48" s="36" t="s">
        <v>18</v>
      </c>
      <c r="F48" s="36" t="s">
        <v>18</v>
      </c>
      <c r="G48" s="36" t="s">
        <v>120</v>
      </c>
      <c r="H48" s="36" t="s">
        <v>38</v>
      </c>
      <c r="I48" s="37" t="s">
        <v>118</v>
      </c>
      <c r="J48" s="37"/>
      <c r="K48" s="36">
        <v>120</v>
      </c>
      <c r="L48" s="36" t="str">
        <f>"74,0280"</f>
        <v>74,0280</v>
      </c>
      <c r="M48" s="36" t="s">
        <v>54</v>
      </c>
    </row>
    <row r="49" spans="1:13" ht="12.75">
      <c r="A49" s="36" t="s">
        <v>775</v>
      </c>
      <c r="B49" s="36" t="s">
        <v>776</v>
      </c>
      <c r="C49" s="36" t="s">
        <v>777</v>
      </c>
      <c r="D49" s="36" t="str">
        <f>"0,6308"</f>
        <v>0,6308</v>
      </c>
      <c r="E49" s="36" t="s">
        <v>18</v>
      </c>
      <c r="F49" s="36" t="s">
        <v>18</v>
      </c>
      <c r="G49" s="37" t="s">
        <v>778</v>
      </c>
      <c r="H49" s="36" t="s">
        <v>778</v>
      </c>
      <c r="I49" s="37"/>
      <c r="J49" s="37"/>
      <c r="K49" s="36">
        <v>112.5</v>
      </c>
      <c r="L49" s="36" t="str">
        <f>"70,9650"</f>
        <v>70,9650</v>
      </c>
      <c r="M49" s="36" t="s">
        <v>779</v>
      </c>
    </row>
    <row r="50" spans="1:13" ht="12.75">
      <c r="A50" s="36" t="s">
        <v>781</v>
      </c>
      <c r="B50" s="36" t="s">
        <v>782</v>
      </c>
      <c r="C50" s="36" t="s">
        <v>773</v>
      </c>
      <c r="D50" s="36" t="str">
        <f>"0,6169"</f>
        <v>0,6169</v>
      </c>
      <c r="E50" s="36" t="s">
        <v>18</v>
      </c>
      <c r="F50" s="36" t="s">
        <v>18</v>
      </c>
      <c r="G50" s="36" t="s">
        <v>163</v>
      </c>
      <c r="H50" s="36" t="s">
        <v>140</v>
      </c>
      <c r="I50" s="36" t="s">
        <v>490</v>
      </c>
      <c r="J50" s="37"/>
      <c r="K50" s="36">
        <v>167.5</v>
      </c>
      <c r="L50" s="36" t="str">
        <f>"103,3308"</f>
        <v>103,3308</v>
      </c>
      <c r="M50" s="36" t="s">
        <v>54</v>
      </c>
    </row>
    <row r="51" spans="1:13" ht="12.75">
      <c r="A51" s="36" t="s">
        <v>784</v>
      </c>
      <c r="B51" s="36" t="s">
        <v>785</v>
      </c>
      <c r="C51" s="36" t="s">
        <v>786</v>
      </c>
      <c r="D51" s="36" t="str">
        <f>"0,6106"</f>
        <v>0,6106</v>
      </c>
      <c r="E51" s="36" t="s">
        <v>204</v>
      </c>
      <c r="F51" s="36" t="s">
        <v>787</v>
      </c>
      <c r="G51" s="36" t="s">
        <v>20</v>
      </c>
      <c r="H51" s="36" t="s">
        <v>140</v>
      </c>
      <c r="I51" s="36" t="s">
        <v>490</v>
      </c>
      <c r="J51" s="37"/>
      <c r="K51" s="36">
        <v>167.5</v>
      </c>
      <c r="L51" s="36" t="str">
        <f>"102,2755"</f>
        <v>102,2755</v>
      </c>
      <c r="M51" s="36" t="s">
        <v>54</v>
      </c>
    </row>
    <row r="52" spans="1:13" ht="12.75">
      <c r="A52" s="38" t="s">
        <v>789</v>
      </c>
      <c r="B52" s="38" t="s">
        <v>790</v>
      </c>
      <c r="C52" s="38" t="s">
        <v>791</v>
      </c>
      <c r="D52" s="38" t="str">
        <f>"0,6139"</f>
        <v>0,6139</v>
      </c>
      <c r="E52" s="38" t="s">
        <v>204</v>
      </c>
      <c r="F52" s="38" t="s">
        <v>792</v>
      </c>
      <c r="G52" s="39" t="s">
        <v>20</v>
      </c>
      <c r="H52" s="38" t="s">
        <v>20</v>
      </c>
      <c r="I52" s="38" t="s">
        <v>121</v>
      </c>
      <c r="J52" s="39"/>
      <c r="K52" s="38">
        <v>160</v>
      </c>
      <c r="L52" s="38" t="str">
        <f>"98,2240"</f>
        <v>98,2240</v>
      </c>
      <c r="M52" s="38" t="s">
        <v>54</v>
      </c>
    </row>
    <row r="54" spans="1:12" ht="15">
      <c r="A54" s="61" t="s">
        <v>145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3" ht="12.75">
      <c r="A55" s="34" t="s">
        <v>794</v>
      </c>
      <c r="B55" s="34" t="s">
        <v>795</v>
      </c>
      <c r="C55" s="34" t="s">
        <v>796</v>
      </c>
      <c r="D55" s="34" t="str">
        <f>"0,5885"</f>
        <v>0,5885</v>
      </c>
      <c r="E55" s="34" t="s">
        <v>697</v>
      </c>
      <c r="F55" s="34" t="s">
        <v>698</v>
      </c>
      <c r="G55" s="34" t="s">
        <v>22</v>
      </c>
      <c r="H55" s="34" t="s">
        <v>36</v>
      </c>
      <c r="I55" s="35" t="s">
        <v>526</v>
      </c>
      <c r="J55" s="35"/>
      <c r="K55" s="34">
        <v>180</v>
      </c>
      <c r="L55" s="34" t="str">
        <f>"105,9300"</f>
        <v>105,9300</v>
      </c>
      <c r="M55" s="34" t="s">
        <v>797</v>
      </c>
    </row>
    <row r="56" spans="1:13" ht="12.75">
      <c r="A56" s="36" t="s">
        <v>799</v>
      </c>
      <c r="B56" s="36" t="s">
        <v>800</v>
      </c>
      <c r="C56" s="36" t="s">
        <v>169</v>
      </c>
      <c r="D56" s="36" t="str">
        <f>"0,5941"</f>
        <v>0,5941</v>
      </c>
      <c r="E56" s="36" t="s">
        <v>18</v>
      </c>
      <c r="F56" s="36" t="s">
        <v>18</v>
      </c>
      <c r="G56" s="36" t="s">
        <v>121</v>
      </c>
      <c r="H56" s="37" t="s">
        <v>490</v>
      </c>
      <c r="I56" s="36" t="s">
        <v>490</v>
      </c>
      <c r="J56" s="37"/>
      <c r="K56" s="36">
        <v>167.5</v>
      </c>
      <c r="L56" s="36" t="str">
        <f>"99,5117"</f>
        <v>99,5117</v>
      </c>
      <c r="M56" s="36" t="s">
        <v>541</v>
      </c>
    </row>
    <row r="57" spans="1:13" ht="12.75">
      <c r="A57" s="36" t="s">
        <v>802</v>
      </c>
      <c r="B57" s="36" t="s">
        <v>803</v>
      </c>
      <c r="C57" s="36" t="s">
        <v>804</v>
      </c>
      <c r="D57" s="36" t="str">
        <f>"0,5902"</f>
        <v>0,5902</v>
      </c>
      <c r="E57" s="36" t="s">
        <v>467</v>
      </c>
      <c r="F57" s="36" t="s">
        <v>468</v>
      </c>
      <c r="G57" s="36" t="s">
        <v>163</v>
      </c>
      <c r="H57" s="36" t="s">
        <v>140</v>
      </c>
      <c r="I57" s="37" t="s">
        <v>490</v>
      </c>
      <c r="J57" s="37"/>
      <c r="K57" s="36">
        <v>162.5</v>
      </c>
      <c r="L57" s="36" t="str">
        <f>"95,9075"</f>
        <v>95,9075</v>
      </c>
      <c r="M57" s="36" t="s">
        <v>54</v>
      </c>
    </row>
    <row r="58" spans="1:13" ht="12.75">
      <c r="A58" s="36" t="s">
        <v>805</v>
      </c>
      <c r="B58" s="36" t="s">
        <v>806</v>
      </c>
      <c r="C58" s="36" t="s">
        <v>807</v>
      </c>
      <c r="D58" s="36" t="str">
        <f>"0,5956"</f>
        <v>0,5956</v>
      </c>
      <c r="E58" s="36" t="s">
        <v>18</v>
      </c>
      <c r="F58" s="36" t="s">
        <v>19</v>
      </c>
      <c r="G58" s="37" t="s">
        <v>121</v>
      </c>
      <c r="H58" s="37"/>
      <c r="I58" s="37"/>
      <c r="J58" s="37"/>
      <c r="K58" s="36">
        <v>0</v>
      </c>
      <c r="L58" s="36" t="str">
        <f>"0,0000"</f>
        <v>0,0000</v>
      </c>
      <c r="M58" s="36" t="s">
        <v>54</v>
      </c>
    </row>
    <row r="59" spans="1:13" ht="12.75">
      <c r="A59" s="38" t="s">
        <v>809</v>
      </c>
      <c r="B59" s="38" t="s">
        <v>810</v>
      </c>
      <c r="C59" s="38" t="s">
        <v>811</v>
      </c>
      <c r="D59" s="38" t="str">
        <f>"0,5895"</f>
        <v>0,5895</v>
      </c>
      <c r="E59" s="38" t="s">
        <v>18</v>
      </c>
      <c r="F59" s="38" t="s">
        <v>19</v>
      </c>
      <c r="G59" s="38" t="s">
        <v>27</v>
      </c>
      <c r="H59" s="38" t="s">
        <v>64</v>
      </c>
      <c r="I59" s="38" t="s">
        <v>20</v>
      </c>
      <c r="J59" s="39"/>
      <c r="K59" s="38">
        <v>150</v>
      </c>
      <c r="L59" s="38" t="str">
        <f>"88,4250"</f>
        <v>88,4250</v>
      </c>
      <c r="M59" s="38" t="s">
        <v>54</v>
      </c>
    </row>
    <row r="61" spans="1:12" ht="15">
      <c r="A61" s="61" t="s">
        <v>172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3" ht="12.75">
      <c r="A62" s="34" t="s">
        <v>813</v>
      </c>
      <c r="B62" s="34" t="s">
        <v>814</v>
      </c>
      <c r="C62" s="34" t="s">
        <v>815</v>
      </c>
      <c r="D62" s="34" t="str">
        <f>"0,5720"</f>
        <v>0,5720</v>
      </c>
      <c r="E62" s="34" t="s">
        <v>18</v>
      </c>
      <c r="F62" s="34" t="s">
        <v>18</v>
      </c>
      <c r="G62" s="34" t="s">
        <v>86</v>
      </c>
      <c r="H62" s="34" t="s">
        <v>52</v>
      </c>
      <c r="I62" s="35" t="s">
        <v>137</v>
      </c>
      <c r="J62" s="35"/>
      <c r="K62" s="34">
        <v>220</v>
      </c>
      <c r="L62" s="34" t="str">
        <f>"125,8400"</f>
        <v>125,8400</v>
      </c>
      <c r="M62" s="34" t="s">
        <v>54</v>
      </c>
    </row>
    <row r="63" spans="1:13" ht="12.75">
      <c r="A63" s="36" t="s">
        <v>817</v>
      </c>
      <c r="B63" s="36" t="s">
        <v>818</v>
      </c>
      <c r="C63" s="36" t="s">
        <v>819</v>
      </c>
      <c r="D63" s="36" t="str">
        <f>"0,5785"</f>
        <v>0,5785</v>
      </c>
      <c r="E63" s="36" t="s">
        <v>18</v>
      </c>
      <c r="F63" s="36" t="s">
        <v>19</v>
      </c>
      <c r="G63" s="36" t="s">
        <v>36</v>
      </c>
      <c r="H63" s="36" t="s">
        <v>179</v>
      </c>
      <c r="I63" s="37" t="s">
        <v>540</v>
      </c>
      <c r="J63" s="37"/>
      <c r="K63" s="36">
        <v>192.5</v>
      </c>
      <c r="L63" s="36" t="str">
        <f>"111,3612"</f>
        <v>111,3612</v>
      </c>
      <c r="M63" s="36" t="s">
        <v>54</v>
      </c>
    </row>
    <row r="64" spans="1:13" ht="12.75">
      <c r="A64" s="38" t="s">
        <v>821</v>
      </c>
      <c r="B64" s="38" t="s">
        <v>822</v>
      </c>
      <c r="C64" s="38" t="s">
        <v>398</v>
      </c>
      <c r="D64" s="38" t="str">
        <f>"0,5717"</f>
        <v>0,5717</v>
      </c>
      <c r="E64" s="38" t="s">
        <v>100</v>
      </c>
      <c r="F64" s="38" t="s">
        <v>101</v>
      </c>
      <c r="G64" s="38" t="s">
        <v>64</v>
      </c>
      <c r="H64" s="38" t="s">
        <v>20</v>
      </c>
      <c r="I64" s="39" t="s">
        <v>65</v>
      </c>
      <c r="J64" s="39"/>
      <c r="K64" s="38">
        <v>150</v>
      </c>
      <c r="L64" s="38" t="str">
        <f>"85,7550"</f>
        <v>85,7550</v>
      </c>
      <c r="M64" s="38" t="s">
        <v>54</v>
      </c>
    </row>
    <row r="66" spans="1:12" ht="15">
      <c r="A66" s="61" t="s">
        <v>189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3" ht="12.75">
      <c r="A67" s="34" t="s">
        <v>824</v>
      </c>
      <c r="B67" s="34" t="s">
        <v>825</v>
      </c>
      <c r="C67" s="34" t="s">
        <v>826</v>
      </c>
      <c r="D67" s="34" t="str">
        <f>"0,5622"</f>
        <v>0,5622</v>
      </c>
      <c r="E67" s="34" t="s">
        <v>204</v>
      </c>
      <c r="F67" s="34" t="s">
        <v>787</v>
      </c>
      <c r="G67" s="34" t="s">
        <v>121</v>
      </c>
      <c r="H67" s="34" t="s">
        <v>35</v>
      </c>
      <c r="I67" s="35"/>
      <c r="J67" s="35"/>
      <c r="K67" s="34">
        <v>170</v>
      </c>
      <c r="L67" s="34" t="str">
        <f>"95,5740"</f>
        <v>95,5740</v>
      </c>
      <c r="M67" s="34" t="s">
        <v>827</v>
      </c>
    </row>
    <row r="68" spans="1:13" ht="12.75">
      <c r="A68" s="38" t="s">
        <v>829</v>
      </c>
      <c r="B68" s="38" t="s">
        <v>830</v>
      </c>
      <c r="C68" s="38" t="s">
        <v>831</v>
      </c>
      <c r="D68" s="38" t="str">
        <f>"0,5670"</f>
        <v>0,5670</v>
      </c>
      <c r="E68" s="38" t="s">
        <v>361</v>
      </c>
      <c r="F68" s="38" t="s">
        <v>832</v>
      </c>
      <c r="G68" s="38" t="s">
        <v>706</v>
      </c>
      <c r="H68" s="38" t="s">
        <v>26</v>
      </c>
      <c r="I68" s="39" t="s">
        <v>51</v>
      </c>
      <c r="J68" s="39"/>
      <c r="K68" s="38">
        <v>135</v>
      </c>
      <c r="L68" s="38" t="str">
        <f>"76,5450"</f>
        <v>76,5450</v>
      </c>
      <c r="M68" s="38" t="s">
        <v>833</v>
      </c>
    </row>
    <row r="71" spans="1:2" ht="18">
      <c r="A71" s="41" t="s">
        <v>223</v>
      </c>
      <c r="B71" s="41"/>
    </row>
    <row r="72" spans="1:2" ht="15">
      <c r="A72" s="42" t="s">
        <v>224</v>
      </c>
      <c r="B72" s="42"/>
    </row>
    <row r="73" spans="1:2" ht="14.25">
      <c r="A73" s="44" t="s">
        <v>225</v>
      </c>
      <c r="B73" s="45"/>
    </row>
    <row r="74" spans="1:5" ht="15">
      <c r="A74" s="46" t="s">
        <v>226</v>
      </c>
      <c r="B74" s="46" t="s">
        <v>227</v>
      </c>
      <c r="C74" s="46" t="s">
        <v>228</v>
      </c>
      <c r="D74" s="46" t="s">
        <v>229</v>
      </c>
      <c r="E74" s="46" t="s">
        <v>230</v>
      </c>
    </row>
    <row r="75" spans="1:5" ht="12.75">
      <c r="A75" s="43" t="s">
        <v>652</v>
      </c>
      <c r="B75" s="31" t="s">
        <v>225</v>
      </c>
      <c r="C75" s="31" t="s">
        <v>274</v>
      </c>
      <c r="D75" s="31" t="s">
        <v>658</v>
      </c>
      <c r="E75" s="47" t="s">
        <v>834</v>
      </c>
    </row>
    <row r="76" spans="1:5" ht="12.75">
      <c r="A76" s="43" t="s">
        <v>637</v>
      </c>
      <c r="B76" s="31" t="s">
        <v>225</v>
      </c>
      <c r="C76" s="31" t="s">
        <v>835</v>
      </c>
      <c r="D76" s="31" t="s">
        <v>642</v>
      </c>
      <c r="E76" s="47" t="s">
        <v>836</v>
      </c>
    </row>
    <row r="77" spans="1:5" ht="12.75">
      <c r="A77" s="43" t="s">
        <v>645</v>
      </c>
      <c r="B77" s="31" t="s">
        <v>225</v>
      </c>
      <c r="C77" s="31" t="s">
        <v>837</v>
      </c>
      <c r="D77" s="31" t="s">
        <v>651</v>
      </c>
      <c r="E77" s="47" t="s">
        <v>838</v>
      </c>
    </row>
    <row r="80" spans="1:2" ht="15">
      <c r="A80" s="42" t="s">
        <v>234</v>
      </c>
      <c r="B80" s="42"/>
    </row>
    <row r="81" spans="1:2" ht="14.25">
      <c r="A81" s="44" t="s">
        <v>405</v>
      </c>
      <c r="B81" s="45"/>
    </row>
    <row r="82" spans="1:5" ht="15">
      <c r="A82" s="46" t="s">
        <v>226</v>
      </c>
      <c r="B82" s="46" t="s">
        <v>227</v>
      </c>
      <c r="C82" s="46" t="s">
        <v>228</v>
      </c>
      <c r="D82" s="46" t="s">
        <v>229</v>
      </c>
      <c r="E82" s="46" t="s">
        <v>230</v>
      </c>
    </row>
    <row r="83" spans="1:5" ht="12.75">
      <c r="A83" s="43" t="s">
        <v>665</v>
      </c>
      <c r="B83" s="31" t="s">
        <v>405</v>
      </c>
      <c r="C83" s="31" t="s">
        <v>239</v>
      </c>
      <c r="D83" s="31" t="s">
        <v>670</v>
      </c>
      <c r="E83" s="47" t="s">
        <v>839</v>
      </c>
    </row>
    <row r="85" spans="1:2" ht="14.25">
      <c r="A85" s="44" t="s">
        <v>235</v>
      </c>
      <c r="B85" s="45"/>
    </row>
    <row r="86" spans="1:5" ht="15">
      <c r="A86" s="46" t="s">
        <v>226</v>
      </c>
      <c r="B86" s="46" t="s">
        <v>227</v>
      </c>
      <c r="C86" s="46" t="s">
        <v>228</v>
      </c>
      <c r="D86" s="46" t="s">
        <v>229</v>
      </c>
      <c r="E86" s="46" t="s">
        <v>230</v>
      </c>
    </row>
    <row r="87" spans="1:5" ht="12.75">
      <c r="A87" s="43" t="s">
        <v>699</v>
      </c>
      <c r="B87" s="31" t="s">
        <v>235</v>
      </c>
      <c r="C87" s="31" t="s">
        <v>274</v>
      </c>
      <c r="D87" s="31" t="s">
        <v>85</v>
      </c>
      <c r="E87" s="47" t="s">
        <v>840</v>
      </c>
    </row>
    <row r="88" spans="1:5" ht="12.75">
      <c r="A88" s="43" t="s">
        <v>703</v>
      </c>
      <c r="B88" s="31" t="s">
        <v>235</v>
      </c>
      <c r="C88" s="31" t="s">
        <v>274</v>
      </c>
      <c r="D88" s="31" t="s">
        <v>38</v>
      </c>
      <c r="E88" s="47" t="s">
        <v>841</v>
      </c>
    </row>
    <row r="89" spans="1:5" ht="12.75">
      <c r="A89" s="43" t="s">
        <v>659</v>
      </c>
      <c r="B89" s="31" t="s">
        <v>235</v>
      </c>
      <c r="C89" s="31" t="s">
        <v>629</v>
      </c>
      <c r="D89" s="31" t="s">
        <v>332</v>
      </c>
      <c r="E89" s="47" t="s">
        <v>842</v>
      </c>
    </row>
    <row r="91" spans="1:2" ht="14.25">
      <c r="A91" s="44" t="s">
        <v>245</v>
      </c>
      <c r="B91" s="45"/>
    </row>
    <row r="92" spans="1:5" ht="15">
      <c r="A92" s="46" t="s">
        <v>226</v>
      </c>
      <c r="B92" s="46" t="s">
        <v>227</v>
      </c>
      <c r="C92" s="46" t="s">
        <v>228</v>
      </c>
      <c r="D92" s="46" t="s">
        <v>229</v>
      </c>
      <c r="E92" s="46" t="s">
        <v>230</v>
      </c>
    </row>
    <row r="93" spans="1:5" ht="12.75">
      <c r="A93" s="43" t="s">
        <v>756</v>
      </c>
      <c r="B93" s="31" t="s">
        <v>245</v>
      </c>
      <c r="C93" s="31" t="s">
        <v>242</v>
      </c>
      <c r="D93" s="31" t="s">
        <v>40</v>
      </c>
      <c r="E93" s="47" t="s">
        <v>843</v>
      </c>
    </row>
    <row r="94" spans="1:5" ht="12.75">
      <c r="A94" s="43" t="s">
        <v>673</v>
      </c>
      <c r="B94" s="31" t="s">
        <v>245</v>
      </c>
      <c r="C94" s="31" t="s">
        <v>239</v>
      </c>
      <c r="D94" s="31" t="s">
        <v>163</v>
      </c>
      <c r="E94" s="47" t="s">
        <v>844</v>
      </c>
    </row>
    <row r="95" spans="1:5" ht="12.75">
      <c r="A95" s="43" t="s">
        <v>679</v>
      </c>
      <c r="B95" s="31" t="s">
        <v>245</v>
      </c>
      <c r="C95" s="31" t="s">
        <v>239</v>
      </c>
      <c r="D95" s="31" t="s">
        <v>20</v>
      </c>
      <c r="E95" s="47" t="s">
        <v>845</v>
      </c>
    </row>
    <row r="96" spans="1:5" ht="12.75">
      <c r="A96" s="43" t="s">
        <v>707</v>
      </c>
      <c r="B96" s="31" t="s">
        <v>245</v>
      </c>
      <c r="C96" s="31" t="s">
        <v>274</v>
      </c>
      <c r="D96" s="31" t="s">
        <v>163</v>
      </c>
      <c r="E96" s="47" t="s">
        <v>846</v>
      </c>
    </row>
    <row r="97" spans="1:5" ht="12.75">
      <c r="A97" s="43" t="s">
        <v>710</v>
      </c>
      <c r="B97" s="31" t="s">
        <v>245</v>
      </c>
      <c r="C97" s="31" t="s">
        <v>274</v>
      </c>
      <c r="D97" s="31" t="s">
        <v>64</v>
      </c>
      <c r="E97" s="47" t="s">
        <v>847</v>
      </c>
    </row>
    <row r="98" spans="1:5" ht="12.75">
      <c r="A98" s="43" t="s">
        <v>714</v>
      </c>
      <c r="B98" s="31" t="s">
        <v>245</v>
      </c>
      <c r="C98" s="31" t="s">
        <v>274</v>
      </c>
      <c r="D98" s="31" t="s">
        <v>27</v>
      </c>
      <c r="E98" s="47" t="s">
        <v>848</v>
      </c>
    </row>
    <row r="99" spans="1:5" ht="12.75">
      <c r="A99" s="43" t="s">
        <v>684</v>
      </c>
      <c r="B99" s="31" t="s">
        <v>245</v>
      </c>
      <c r="C99" s="31" t="s">
        <v>239</v>
      </c>
      <c r="D99" s="31" t="s">
        <v>118</v>
      </c>
      <c r="E99" s="47" t="s">
        <v>849</v>
      </c>
    </row>
    <row r="100" spans="1:5" ht="12.75">
      <c r="A100" s="43" t="s">
        <v>719</v>
      </c>
      <c r="B100" s="31" t="s">
        <v>245</v>
      </c>
      <c r="C100" s="31" t="s">
        <v>274</v>
      </c>
      <c r="D100" s="31" t="s">
        <v>26</v>
      </c>
      <c r="E100" s="47" t="s">
        <v>850</v>
      </c>
    </row>
    <row r="101" spans="1:5" ht="12.75">
      <c r="A101" s="43" t="s">
        <v>739</v>
      </c>
      <c r="B101" s="31" t="s">
        <v>245</v>
      </c>
      <c r="C101" s="31" t="s">
        <v>246</v>
      </c>
      <c r="D101" s="31" t="s">
        <v>118</v>
      </c>
      <c r="E101" s="47" t="s">
        <v>851</v>
      </c>
    </row>
    <row r="103" spans="1:2" ht="14.25">
      <c r="A103" s="44" t="s">
        <v>225</v>
      </c>
      <c r="B103" s="45"/>
    </row>
    <row r="104" spans="1:5" ht="15">
      <c r="A104" s="46" t="s">
        <v>226</v>
      </c>
      <c r="B104" s="46" t="s">
        <v>227</v>
      </c>
      <c r="C104" s="46" t="s">
        <v>228</v>
      </c>
      <c r="D104" s="46" t="s">
        <v>229</v>
      </c>
      <c r="E104" s="46" t="s">
        <v>230</v>
      </c>
    </row>
    <row r="105" spans="1:5" ht="12.75">
      <c r="A105" s="43" t="s">
        <v>812</v>
      </c>
      <c r="B105" s="31" t="s">
        <v>225</v>
      </c>
      <c r="C105" s="31" t="s">
        <v>249</v>
      </c>
      <c r="D105" s="31" t="s">
        <v>52</v>
      </c>
      <c r="E105" s="47" t="s">
        <v>852</v>
      </c>
    </row>
    <row r="106" spans="1:5" ht="12.75">
      <c r="A106" s="43" t="s">
        <v>756</v>
      </c>
      <c r="B106" s="31" t="s">
        <v>225</v>
      </c>
      <c r="C106" s="31" t="s">
        <v>242</v>
      </c>
      <c r="D106" s="31" t="s">
        <v>40</v>
      </c>
      <c r="E106" s="47" t="s">
        <v>843</v>
      </c>
    </row>
    <row r="107" spans="1:5" ht="12.75">
      <c r="A107" s="43" t="s">
        <v>688</v>
      </c>
      <c r="B107" s="31" t="s">
        <v>225</v>
      </c>
      <c r="C107" s="31" t="s">
        <v>239</v>
      </c>
      <c r="D107" s="31" t="s">
        <v>490</v>
      </c>
      <c r="E107" s="47" t="s">
        <v>853</v>
      </c>
    </row>
    <row r="108" spans="1:5" ht="12.75">
      <c r="A108" s="43" t="s">
        <v>743</v>
      </c>
      <c r="B108" s="31" t="s">
        <v>225</v>
      </c>
      <c r="C108" s="31" t="s">
        <v>246</v>
      </c>
      <c r="D108" s="31" t="s">
        <v>36</v>
      </c>
      <c r="E108" s="47" t="s">
        <v>854</v>
      </c>
    </row>
    <row r="109" spans="1:5" ht="12.75">
      <c r="A109" s="43" t="s">
        <v>816</v>
      </c>
      <c r="B109" s="31" t="s">
        <v>225</v>
      </c>
      <c r="C109" s="31" t="s">
        <v>249</v>
      </c>
      <c r="D109" s="31" t="s">
        <v>179</v>
      </c>
      <c r="E109" s="47" t="s">
        <v>855</v>
      </c>
    </row>
    <row r="110" spans="1:5" ht="12.75">
      <c r="A110" s="43" t="s">
        <v>762</v>
      </c>
      <c r="B110" s="31" t="s">
        <v>225</v>
      </c>
      <c r="C110" s="31" t="s">
        <v>242</v>
      </c>
      <c r="D110" s="31" t="s">
        <v>36</v>
      </c>
      <c r="E110" s="47" t="s">
        <v>856</v>
      </c>
    </row>
    <row r="111" spans="1:5" ht="12.75">
      <c r="A111" s="43" t="s">
        <v>679</v>
      </c>
      <c r="B111" s="31" t="s">
        <v>225</v>
      </c>
      <c r="C111" s="31" t="s">
        <v>239</v>
      </c>
      <c r="D111" s="31" t="s">
        <v>20</v>
      </c>
      <c r="E111" s="47" t="s">
        <v>845</v>
      </c>
    </row>
    <row r="112" spans="1:5" ht="12.75">
      <c r="A112" s="43" t="s">
        <v>793</v>
      </c>
      <c r="B112" s="31" t="s">
        <v>225</v>
      </c>
      <c r="C112" s="31" t="s">
        <v>236</v>
      </c>
      <c r="D112" s="31" t="s">
        <v>36</v>
      </c>
      <c r="E112" s="47" t="s">
        <v>857</v>
      </c>
    </row>
    <row r="113" spans="1:5" ht="12.75">
      <c r="A113" s="43" t="s">
        <v>766</v>
      </c>
      <c r="B113" s="31" t="s">
        <v>225</v>
      </c>
      <c r="C113" s="31" t="s">
        <v>242</v>
      </c>
      <c r="D113" s="31" t="s">
        <v>461</v>
      </c>
      <c r="E113" s="47" t="s">
        <v>858</v>
      </c>
    </row>
    <row r="114" spans="1:5" ht="12.75">
      <c r="A114" s="43" t="s">
        <v>748</v>
      </c>
      <c r="B114" s="31" t="s">
        <v>225</v>
      </c>
      <c r="C114" s="31" t="s">
        <v>246</v>
      </c>
      <c r="D114" s="31" t="s">
        <v>65</v>
      </c>
      <c r="E114" s="47" t="s">
        <v>859</v>
      </c>
    </row>
    <row r="115" spans="1:5" ht="12.75">
      <c r="A115" s="43" t="s">
        <v>798</v>
      </c>
      <c r="B115" s="31" t="s">
        <v>225</v>
      </c>
      <c r="C115" s="31" t="s">
        <v>236</v>
      </c>
      <c r="D115" s="31" t="s">
        <v>490</v>
      </c>
      <c r="E115" s="47" t="s">
        <v>860</v>
      </c>
    </row>
    <row r="116" spans="1:5" ht="12.75">
      <c r="A116" s="43" t="s">
        <v>724</v>
      </c>
      <c r="B116" s="31" t="s">
        <v>225</v>
      </c>
      <c r="C116" s="31" t="s">
        <v>274</v>
      </c>
      <c r="D116" s="31" t="s">
        <v>64</v>
      </c>
      <c r="E116" s="47" t="s">
        <v>861</v>
      </c>
    </row>
    <row r="117" spans="1:5" ht="12.75">
      <c r="A117" s="43" t="s">
        <v>801</v>
      </c>
      <c r="B117" s="31" t="s">
        <v>225</v>
      </c>
      <c r="C117" s="31" t="s">
        <v>236</v>
      </c>
      <c r="D117" s="31" t="s">
        <v>140</v>
      </c>
      <c r="E117" s="47" t="s">
        <v>862</v>
      </c>
    </row>
    <row r="118" spans="1:5" ht="12.75">
      <c r="A118" s="43" t="s">
        <v>823</v>
      </c>
      <c r="B118" s="31" t="s">
        <v>225</v>
      </c>
      <c r="C118" s="31" t="s">
        <v>263</v>
      </c>
      <c r="D118" s="31" t="s">
        <v>35</v>
      </c>
      <c r="E118" s="47" t="s">
        <v>863</v>
      </c>
    </row>
    <row r="119" spans="1:5" ht="12.75">
      <c r="A119" s="43" t="s">
        <v>752</v>
      </c>
      <c r="B119" s="31" t="s">
        <v>225</v>
      </c>
      <c r="C119" s="31" t="s">
        <v>246</v>
      </c>
      <c r="D119" s="31" t="s">
        <v>51</v>
      </c>
      <c r="E119" s="47" t="s">
        <v>864</v>
      </c>
    </row>
    <row r="120" spans="1:5" ht="12.75">
      <c r="A120" s="43" t="s">
        <v>728</v>
      </c>
      <c r="B120" s="31" t="s">
        <v>225</v>
      </c>
      <c r="C120" s="31" t="s">
        <v>274</v>
      </c>
      <c r="D120" s="31" t="s">
        <v>26</v>
      </c>
      <c r="E120" s="47" t="s">
        <v>865</v>
      </c>
    </row>
    <row r="121" spans="1:5" ht="12.75">
      <c r="A121" s="43" t="s">
        <v>693</v>
      </c>
      <c r="B121" s="31" t="s">
        <v>225</v>
      </c>
      <c r="C121" s="31" t="s">
        <v>239</v>
      </c>
      <c r="D121" s="31" t="s">
        <v>38</v>
      </c>
      <c r="E121" s="47" t="s">
        <v>866</v>
      </c>
    </row>
    <row r="122" spans="1:5" ht="12.75">
      <c r="A122" s="43" t="s">
        <v>733</v>
      </c>
      <c r="B122" s="31" t="s">
        <v>225</v>
      </c>
      <c r="C122" s="31" t="s">
        <v>274</v>
      </c>
      <c r="D122" s="31" t="s">
        <v>706</v>
      </c>
      <c r="E122" s="47" t="s">
        <v>867</v>
      </c>
    </row>
    <row r="123" spans="1:5" ht="12.75">
      <c r="A123" s="43" t="s">
        <v>820</v>
      </c>
      <c r="B123" s="31" t="s">
        <v>225</v>
      </c>
      <c r="C123" s="31" t="s">
        <v>249</v>
      </c>
      <c r="D123" s="31" t="s">
        <v>20</v>
      </c>
      <c r="E123" s="47" t="s">
        <v>868</v>
      </c>
    </row>
    <row r="124" spans="1:5" ht="12.75">
      <c r="A124" s="43" t="s">
        <v>828</v>
      </c>
      <c r="B124" s="31" t="s">
        <v>225</v>
      </c>
      <c r="C124" s="31" t="s">
        <v>263</v>
      </c>
      <c r="D124" s="31" t="s">
        <v>26</v>
      </c>
      <c r="E124" s="47" t="s">
        <v>869</v>
      </c>
    </row>
    <row r="125" spans="1:5" ht="12.75">
      <c r="A125" s="43" t="s">
        <v>770</v>
      </c>
      <c r="B125" s="31" t="s">
        <v>225</v>
      </c>
      <c r="C125" s="31" t="s">
        <v>242</v>
      </c>
      <c r="D125" s="31" t="s">
        <v>38</v>
      </c>
      <c r="E125" s="47" t="s">
        <v>870</v>
      </c>
    </row>
    <row r="126" spans="1:5" ht="12.75">
      <c r="A126" s="43" t="s">
        <v>774</v>
      </c>
      <c r="B126" s="31" t="s">
        <v>225</v>
      </c>
      <c r="C126" s="31" t="s">
        <v>242</v>
      </c>
      <c r="D126" s="31" t="s">
        <v>778</v>
      </c>
      <c r="E126" s="47" t="s">
        <v>871</v>
      </c>
    </row>
    <row r="128" spans="1:2" ht="14.25">
      <c r="A128" s="44" t="s">
        <v>281</v>
      </c>
      <c r="B128" s="45"/>
    </row>
    <row r="129" spans="1:5" ht="15">
      <c r="A129" s="46" t="s">
        <v>226</v>
      </c>
      <c r="B129" s="46" t="s">
        <v>227</v>
      </c>
      <c r="C129" s="46" t="s">
        <v>228</v>
      </c>
      <c r="D129" s="46" t="s">
        <v>229</v>
      </c>
      <c r="E129" s="46" t="s">
        <v>230</v>
      </c>
    </row>
    <row r="130" spans="1:5" ht="12.75">
      <c r="A130" s="43" t="s">
        <v>780</v>
      </c>
      <c r="B130" s="31" t="s">
        <v>281</v>
      </c>
      <c r="C130" s="31" t="s">
        <v>242</v>
      </c>
      <c r="D130" s="31" t="s">
        <v>490</v>
      </c>
      <c r="E130" s="47" t="s">
        <v>872</v>
      </c>
    </row>
    <row r="131" spans="1:5" ht="12.75">
      <c r="A131" s="43" t="s">
        <v>783</v>
      </c>
      <c r="B131" s="31" t="s">
        <v>281</v>
      </c>
      <c r="C131" s="31" t="s">
        <v>242</v>
      </c>
      <c r="D131" s="31" t="s">
        <v>490</v>
      </c>
      <c r="E131" s="47" t="s">
        <v>873</v>
      </c>
    </row>
    <row r="133" spans="1:2" ht="14.25">
      <c r="A133" s="44" t="s">
        <v>874</v>
      </c>
      <c r="B133" s="45"/>
    </row>
    <row r="134" spans="1:5" ht="15">
      <c r="A134" s="46" t="s">
        <v>226</v>
      </c>
      <c r="B134" s="46" t="s">
        <v>227</v>
      </c>
      <c r="C134" s="46" t="s">
        <v>228</v>
      </c>
      <c r="D134" s="46" t="s">
        <v>229</v>
      </c>
      <c r="E134" s="46" t="s">
        <v>230</v>
      </c>
    </row>
    <row r="135" spans="1:5" ht="12.75">
      <c r="A135" s="43" t="s">
        <v>788</v>
      </c>
      <c r="B135" s="31" t="s">
        <v>874</v>
      </c>
      <c r="C135" s="31" t="s">
        <v>242</v>
      </c>
      <c r="D135" s="31" t="s">
        <v>121</v>
      </c>
      <c r="E135" s="47" t="s">
        <v>875</v>
      </c>
    </row>
    <row r="136" spans="1:5" ht="12.75">
      <c r="A136" s="43" t="s">
        <v>808</v>
      </c>
      <c r="B136" s="31" t="s">
        <v>874</v>
      </c>
      <c r="C136" s="31" t="s">
        <v>236</v>
      </c>
      <c r="D136" s="31" t="s">
        <v>20</v>
      </c>
      <c r="E136" s="47" t="s">
        <v>876</v>
      </c>
    </row>
    <row r="141" spans="1:2" ht="18">
      <c r="A141" s="41" t="s">
        <v>283</v>
      </c>
      <c r="B141" s="41"/>
    </row>
    <row r="142" spans="1:3" ht="15">
      <c r="A142" s="46" t="s">
        <v>284</v>
      </c>
      <c r="B142" s="46" t="s">
        <v>285</v>
      </c>
      <c r="C142" s="46" t="s">
        <v>286</v>
      </c>
    </row>
  </sheetData>
  <sheetProtection/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61:L61"/>
    <mergeCell ref="A66:L66"/>
    <mergeCell ref="A14:L14"/>
    <mergeCell ref="A17:L17"/>
    <mergeCell ref="A26:L26"/>
    <mergeCell ref="A37:L37"/>
    <mergeCell ref="A43:L43"/>
    <mergeCell ref="A54:L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5.0039062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3.37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16.625" style="31" bestFit="1" customWidth="1"/>
  </cols>
  <sheetData>
    <row r="1" spans="1:13" s="1" customFormat="1" ht="15" customHeight="1">
      <c r="A1" s="52" t="s">
        <v>1039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2</v>
      </c>
      <c r="H3" s="48"/>
      <c r="I3" s="48"/>
      <c r="J3" s="48"/>
      <c r="K3" s="48" t="s">
        <v>4</v>
      </c>
      <c r="L3" s="48" t="s">
        <v>7</v>
      </c>
      <c r="M3" s="50" t="s">
        <v>6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49"/>
      <c r="L4" s="49"/>
      <c r="M4" s="51"/>
    </row>
    <row r="5" spans="1:12" ht="15">
      <c r="A5" s="62" t="s">
        <v>439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441</v>
      </c>
      <c r="B6" s="32" t="s">
        <v>442</v>
      </c>
      <c r="C6" s="32" t="s">
        <v>443</v>
      </c>
      <c r="D6" s="32" t="str">
        <f>"0,7852"</f>
        <v>0,7852</v>
      </c>
      <c r="E6" s="32" t="s">
        <v>127</v>
      </c>
      <c r="F6" s="32" t="s">
        <v>128</v>
      </c>
      <c r="G6" s="33" t="s">
        <v>118</v>
      </c>
      <c r="H6" s="32" t="s">
        <v>118</v>
      </c>
      <c r="I6" s="32" t="s">
        <v>26</v>
      </c>
      <c r="J6" s="33"/>
      <c r="K6" s="32">
        <v>135</v>
      </c>
      <c r="L6" s="32" t="str">
        <f>"106,0020"</f>
        <v>106,0020</v>
      </c>
      <c r="M6" s="32" t="s">
        <v>54</v>
      </c>
    </row>
    <row r="8" spans="1:12" ht="15">
      <c r="A8" s="61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2.75">
      <c r="A9" s="32" t="s">
        <v>445</v>
      </c>
      <c r="B9" s="32" t="s">
        <v>446</v>
      </c>
      <c r="C9" s="32" t="s">
        <v>447</v>
      </c>
      <c r="D9" s="32" t="str">
        <f>"0,7271"</f>
        <v>0,7271</v>
      </c>
      <c r="E9" s="32" t="s">
        <v>18</v>
      </c>
      <c r="F9" s="32" t="s">
        <v>19</v>
      </c>
      <c r="G9" s="32" t="s">
        <v>118</v>
      </c>
      <c r="H9" s="33" t="s">
        <v>27</v>
      </c>
      <c r="I9" s="33" t="s">
        <v>27</v>
      </c>
      <c r="J9" s="33"/>
      <c r="K9" s="32">
        <v>130</v>
      </c>
      <c r="L9" s="32" t="str">
        <f>"94,5230"</f>
        <v>94,5230</v>
      </c>
      <c r="M9" s="32" t="s">
        <v>54</v>
      </c>
    </row>
    <row r="11" spans="1:12" ht="15">
      <c r="A11" s="61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3" ht="12.75">
      <c r="A12" s="34" t="s">
        <v>449</v>
      </c>
      <c r="B12" s="34" t="s">
        <v>450</v>
      </c>
      <c r="C12" s="34" t="s">
        <v>451</v>
      </c>
      <c r="D12" s="34" t="str">
        <f>"0,6714"</f>
        <v>0,6714</v>
      </c>
      <c r="E12" s="34" t="s">
        <v>452</v>
      </c>
      <c r="F12" s="34" t="s">
        <v>453</v>
      </c>
      <c r="G12" s="34" t="s">
        <v>35</v>
      </c>
      <c r="H12" s="34" t="s">
        <v>22</v>
      </c>
      <c r="I12" s="35" t="s">
        <v>381</v>
      </c>
      <c r="J12" s="35"/>
      <c r="K12" s="34">
        <v>175</v>
      </c>
      <c r="L12" s="34" t="str">
        <f>"117,4950"</f>
        <v>117,4950</v>
      </c>
      <c r="M12" s="34" t="s">
        <v>454</v>
      </c>
    </row>
    <row r="13" spans="1:13" ht="12.75">
      <c r="A13" s="36" t="s">
        <v>456</v>
      </c>
      <c r="B13" s="36" t="s">
        <v>457</v>
      </c>
      <c r="C13" s="36" t="s">
        <v>458</v>
      </c>
      <c r="D13" s="36" t="str">
        <f>"0,6729"</f>
        <v>0,6729</v>
      </c>
      <c r="E13" s="36" t="s">
        <v>459</v>
      </c>
      <c r="F13" s="36" t="s">
        <v>460</v>
      </c>
      <c r="G13" s="36" t="s">
        <v>121</v>
      </c>
      <c r="H13" s="36" t="s">
        <v>461</v>
      </c>
      <c r="I13" s="37" t="s">
        <v>381</v>
      </c>
      <c r="J13" s="37"/>
      <c r="K13" s="36">
        <v>172.5</v>
      </c>
      <c r="L13" s="36" t="str">
        <f>"116,0753"</f>
        <v>116,0753</v>
      </c>
      <c r="M13" s="36" t="s">
        <v>462</v>
      </c>
    </row>
    <row r="14" spans="1:13" ht="12.75">
      <c r="A14" s="36" t="s">
        <v>464</v>
      </c>
      <c r="B14" s="36" t="s">
        <v>465</v>
      </c>
      <c r="C14" s="36" t="s">
        <v>466</v>
      </c>
      <c r="D14" s="36" t="str">
        <f>"0,6827"</f>
        <v>0,6827</v>
      </c>
      <c r="E14" s="36" t="s">
        <v>467</v>
      </c>
      <c r="F14" s="36" t="s">
        <v>468</v>
      </c>
      <c r="G14" s="36" t="s">
        <v>20</v>
      </c>
      <c r="H14" s="36" t="s">
        <v>121</v>
      </c>
      <c r="I14" s="37" t="s">
        <v>140</v>
      </c>
      <c r="J14" s="37"/>
      <c r="K14" s="36">
        <v>160</v>
      </c>
      <c r="L14" s="36" t="str">
        <f>"109,2320"</f>
        <v>109,2320</v>
      </c>
      <c r="M14" s="36" t="s">
        <v>54</v>
      </c>
    </row>
    <row r="15" spans="1:13" ht="12.75">
      <c r="A15" s="36" t="s">
        <v>469</v>
      </c>
      <c r="B15" s="36" t="s">
        <v>57</v>
      </c>
      <c r="C15" s="36" t="s">
        <v>470</v>
      </c>
      <c r="D15" s="36" t="str">
        <f>"0,6795"</f>
        <v>0,6795</v>
      </c>
      <c r="E15" s="36" t="s">
        <v>59</v>
      </c>
      <c r="F15" s="36" t="s">
        <v>60</v>
      </c>
      <c r="G15" s="36" t="s">
        <v>471</v>
      </c>
      <c r="H15" s="37" t="s">
        <v>65</v>
      </c>
      <c r="I15" s="37" t="s">
        <v>121</v>
      </c>
      <c r="J15" s="37"/>
      <c r="K15" s="36">
        <v>147.5</v>
      </c>
      <c r="L15" s="36" t="str">
        <f>"100,2262"</f>
        <v>100,2262</v>
      </c>
      <c r="M15" s="36" t="s">
        <v>67</v>
      </c>
    </row>
    <row r="16" spans="1:13" ht="12.75">
      <c r="A16" s="36" t="s">
        <v>473</v>
      </c>
      <c r="B16" s="36" t="s">
        <v>474</v>
      </c>
      <c r="C16" s="36" t="s">
        <v>475</v>
      </c>
      <c r="D16" s="36" t="str">
        <f>"0,6975"</f>
        <v>0,6975</v>
      </c>
      <c r="E16" s="36" t="s">
        <v>18</v>
      </c>
      <c r="F16" s="36" t="s">
        <v>18</v>
      </c>
      <c r="G16" s="36" t="s">
        <v>85</v>
      </c>
      <c r="H16" s="36" t="s">
        <v>476</v>
      </c>
      <c r="I16" s="37" t="s">
        <v>51</v>
      </c>
      <c r="J16" s="37"/>
      <c r="K16" s="36">
        <v>137.5</v>
      </c>
      <c r="L16" s="36" t="str">
        <f>"95,9062"</f>
        <v>95,9062</v>
      </c>
      <c r="M16" s="36" t="s">
        <v>54</v>
      </c>
    </row>
    <row r="17" spans="1:13" ht="12.75">
      <c r="A17" s="38" t="s">
        <v>455</v>
      </c>
      <c r="B17" s="38" t="s">
        <v>477</v>
      </c>
      <c r="C17" s="38" t="s">
        <v>458</v>
      </c>
      <c r="D17" s="38" t="str">
        <f>"0,6729"</f>
        <v>0,6729</v>
      </c>
      <c r="E17" s="38" t="s">
        <v>459</v>
      </c>
      <c r="F17" s="38" t="s">
        <v>460</v>
      </c>
      <c r="G17" s="38" t="s">
        <v>121</v>
      </c>
      <c r="H17" s="38" t="s">
        <v>461</v>
      </c>
      <c r="I17" s="39" t="s">
        <v>381</v>
      </c>
      <c r="J17" s="39"/>
      <c r="K17" s="38">
        <v>172.5</v>
      </c>
      <c r="L17" s="38" t="str">
        <f>"116,0753"</f>
        <v>116,0753</v>
      </c>
      <c r="M17" s="38" t="s">
        <v>462</v>
      </c>
    </row>
    <row r="19" spans="1:12" ht="15">
      <c r="A19" s="61" t="s">
        <v>68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3" ht="12.75">
      <c r="A20" s="34" t="s">
        <v>479</v>
      </c>
      <c r="B20" s="34" t="s">
        <v>480</v>
      </c>
      <c r="C20" s="34" t="s">
        <v>481</v>
      </c>
      <c r="D20" s="34" t="str">
        <f>"0,6455"</f>
        <v>0,6455</v>
      </c>
      <c r="E20" s="34" t="s">
        <v>204</v>
      </c>
      <c r="F20" s="34" t="s">
        <v>482</v>
      </c>
      <c r="G20" s="34" t="s">
        <v>51</v>
      </c>
      <c r="H20" s="35" t="s">
        <v>65</v>
      </c>
      <c r="I20" s="35" t="s">
        <v>139</v>
      </c>
      <c r="J20" s="35"/>
      <c r="K20" s="34">
        <v>142.5</v>
      </c>
      <c r="L20" s="34" t="str">
        <f>"91,9838"</f>
        <v>91,9838</v>
      </c>
      <c r="M20" s="34" t="s">
        <v>483</v>
      </c>
    </row>
    <row r="21" spans="1:13" ht="12.75">
      <c r="A21" s="36" t="s">
        <v>485</v>
      </c>
      <c r="B21" s="36" t="s">
        <v>486</v>
      </c>
      <c r="C21" s="36" t="s">
        <v>487</v>
      </c>
      <c r="D21" s="36" t="str">
        <f>"0,6536"</f>
        <v>0,6536</v>
      </c>
      <c r="E21" s="36" t="s">
        <v>488</v>
      </c>
      <c r="F21" s="36" t="s">
        <v>489</v>
      </c>
      <c r="G21" s="36" t="s">
        <v>139</v>
      </c>
      <c r="H21" s="36" t="s">
        <v>490</v>
      </c>
      <c r="I21" s="36" t="s">
        <v>36</v>
      </c>
      <c r="J21" s="37"/>
      <c r="K21" s="36">
        <v>180</v>
      </c>
      <c r="L21" s="36" t="str">
        <f>"117,6480"</f>
        <v>117,6480</v>
      </c>
      <c r="M21" s="36" t="s">
        <v>491</v>
      </c>
    </row>
    <row r="22" spans="1:13" ht="12.75">
      <c r="A22" s="36" t="s">
        <v>493</v>
      </c>
      <c r="B22" s="36" t="s">
        <v>494</v>
      </c>
      <c r="C22" s="36" t="s">
        <v>495</v>
      </c>
      <c r="D22" s="36" t="str">
        <f>"0,6428"</f>
        <v>0,6428</v>
      </c>
      <c r="E22" s="36" t="s">
        <v>18</v>
      </c>
      <c r="F22" s="36" t="s">
        <v>19</v>
      </c>
      <c r="G22" s="37" t="s">
        <v>21</v>
      </c>
      <c r="H22" s="36" t="s">
        <v>35</v>
      </c>
      <c r="I22" s="37" t="s">
        <v>22</v>
      </c>
      <c r="J22" s="37"/>
      <c r="K22" s="36">
        <v>170</v>
      </c>
      <c r="L22" s="36" t="str">
        <f>"109,2760"</f>
        <v>109,2760</v>
      </c>
      <c r="M22" s="36" t="s">
        <v>496</v>
      </c>
    </row>
    <row r="23" spans="1:13" ht="12.75">
      <c r="A23" s="36" t="s">
        <v>498</v>
      </c>
      <c r="B23" s="36" t="s">
        <v>499</v>
      </c>
      <c r="C23" s="36" t="s">
        <v>500</v>
      </c>
      <c r="D23" s="36" t="str">
        <f>"0,6471"</f>
        <v>0,6471</v>
      </c>
      <c r="E23" s="36" t="s">
        <v>18</v>
      </c>
      <c r="F23" s="36" t="s">
        <v>18</v>
      </c>
      <c r="G23" s="36" t="s">
        <v>20</v>
      </c>
      <c r="H23" s="37" t="s">
        <v>163</v>
      </c>
      <c r="I23" s="37" t="s">
        <v>163</v>
      </c>
      <c r="J23" s="37"/>
      <c r="K23" s="36">
        <v>150</v>
      </c>
      <c r="L23" s="36" t="str">
        <f>"97,0650"</f>
        <v>97,0650</v>
      </c>
      <c r="M23" s="36" t="s">
        <v>54</v>
      </c>
    </row>
    <row r="24" spans="1:13" ht="12.75">
      <c r="A24" s="36" t="s">
        <v>502</v>
      </c>
      <c r="B24" s="36" t="s">
        <v>503</v>
      </c>
      <c r="C24" s="36" t="s">
        <v>504</v>
      </c>
      <c r="D24" s="36" t="str">
        <f>"0,6444"</f>
        <v>0,6444</v>
      </c>
      <c r="E24" s="36" t="s">
        <v>459</v>
      </c>
      <c r="F24" s="36" t="s">
        <v>460</v>
      </c>
      <c r="G24" s="36" t="s">
        <v>39</v>
      </c>
      <c r="H24" s="36" t="s">
        <v>85</v>
      </c>
      <c r="I24" s="36" t="s">
        <v>27</v>
      </c>
      <c r="J24" s="37"/>
      <c r="K24" s="36">
        <v>140</v>
      </c>
      <c r="L24" s="36" t="str">
        <f>"90,2160"</f>
        <v>90,2160</v>
      </c>
      <c r="M24" s="36" t="s">
        <v>54</v>
      </c>
    </row>
    <row r="25" spans="1:13" ht="12.75">
      <c r="A25" s="36" t="s">
        <v>506</v>
      </c>
      <c r="B25" s="36" t="s">
        <v>507</v>
      </c>
      <c r="C25" s="36" t="s">
        <v>367</v>
      </c>
      <c r="D25" s="36" t="str">
        <f>"0,6388"</f>
        <v>0,6388</v>
      </c>
      <c r="E25" s="36" t="s">
        <v>204</v>
      </c>
      <c r="F25" s="36" t="s">
        <v>508</v>
      </c>
      <c r="G25" s="36" t="s">
        <v>36</v>
      </c>
      <c r="H25" s="37" t="s">
        <v>37</v>
      </c>
      <c r="I25" s="36" t="s">
        <v>37</v>
      </c>
      <c r="J25" s="37"/>
      <c r="K25" s="36">
        <v>190</v>
      </c>
      <c r="L25" s="36" t="str">
        <f>"121,3720"</f>
        <v>121,3720</v>
      </c>
      <c r="M25" s="36" t="s">
        <v>509</v>
      </c>
    </row>
    <row r="26" spans="1:13" ht="12.75">
      <c r="A26" s="36" t="s">
        <v>511</v>
      </c>
      <c r="B26" s="36" t="s">
        <v>512</v>
      </c>
      <c r="C26" s="36" t="s">
        <v>513</v>
      </c>
      <c r="D26" s="36" t="str">
        <f>"0,6440"</f>
        <v>0,6440</v>
      </c>
      <c r="E26" s="36" t="s">
        <v>514</v>
      </c>
      <c r="F26" s="36" t="s">
        <v>515</v>
      </c>
      <c r="G26" s="36" t="s">
        <v>121</v>
      </c>
      <c r="H26" s="36" t="s">
        <v>35</v>
      </c>
      <c r="I26" s="37" t="s">
        <v>36</v>
      </c>
      <c r="J26" s="37"/>
      <c r="K26" s="36">
        <v>170</v>
      </c>
      <c r="L26" s="36" t="str">
        <f>"109,4800"</f>
        <v>109,4800</v>
      </c>
      <c r="M26" s="36" t="s">
        <v>516</v>
      </c>
    </row>
    <row r="27" spans="1:13" ht="12.75">
      <c r="A27" s="38" t="s">
        <v>518</v>
      </c>
      <c r="B27" s="38" t="s">
        <v>519</v>
      </c>
      <c r="C27" s="38" t="s">
        <v>520</v>
      </c>
      <c r="D27" s="38" t="str">
        <f>"0,6483"</f>
        <v>0,6483</v>
      </c>
      <c r="E27" s="38" t="s">
        <v>452</v>
      </c>
      <c r="F27" s="38" t="s">
        <v>453</v>
      </c>
      <c r="G27" s="38" t="s">
        <v>27</v>
      </c>
      <c r="H27" s="38" t="s">
        <v>20</v>
      </c>
      <c r="I27" s="39" t="s">
        <v>139</v>
      </c>
      <c r="J27" s="39"/>
      <c r="K27" s="38">
        <v>150</v>
      </c>
      <c r="L27" s="38" t="str">
        <f>"97,2450"</f>
        <v>97,2450</v>
      </c>
      <c r="M27" s="38" t="s">
        <v>54</v>
      </c>
    </row>
    <row r="29" spans="1:12" ht="15">
      <c r="A29" s="61" t="s">
        <v>113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3" ht="12.75">
      <c r="A30" s="34" t="s">
        <v>522</v>
      </c>
      <c r="B30" s="34" t="s">
        <v>523</v>
      </c>
      <c r="C30" s="34" t="s">
        <v>524</v>
      </c>
      <c r="D30" s="34" t="str">
        <f>"0,6121"</f>
        <v>0,6121</v>
      </c>
      <c r="E30" s="34" t="s">
        <v>488</v>
      </c>
      <c r="F30" s="34" t="s">
        <v>525</v>
      </c>
      <c r="G30" s="34" t="s">
        <v>526</v>
      </c>
      <c r="H30" s="34" t="s">
        <v>129</v>
      </c>
      <c r="I30" s="34" t="s">
        <v>37</v>
      </c>
      <c r="J30" s="35"/>
      <c r="K30" s="34">
        <v>190</v>
      </c>
      <c r="L30" s="34" t="str">
        <f>"116,2990"</f>
        <v>116,2990</v>
      </c>
      <c r="M30" s="34" t="s">
        <v>527</v>
      </c>
    </row>
    <row r="31" spans="1:13" ht="12.75">
      <c r="A31" s="36" t="s">
        <v>529</v>
      </c>
      <c r="B31" s="36" t="s">
        <v>530</v>
      </c>
      <c r="C31" s="36" t="s">
        <v>531</v>
      </c>
      <c r="D31" s="36" t="str">
        <f>"0,6158"</f>
        <v>0,6158</v>
      </c>
      <c r="E31" s="36" t="s">
        <v>18</v>
      </c>
      <c r="F31" s="36" t="s">
        <v>19</v>
      </c>
      <c r="G31" s="36" t="s">
        <v>121</v>
      </c>
      <c r="H31" s="36" t="s">
        <v>490</v>
      </c>
      <c r="I31" s="37" t="s">
        <v>22</v>
      </c>
      <c r="J31" s="37"/>
      <c r="K31" s="36">
        <v>167.5</v>
      </c>
      <c r="L31" s="36" t="str">
        <f>"103,1465"</f>
        <v>103,1465</v>
      </c>
      <c r="M31" s="36" t="s">
        <v>54</v>
      </c>
    </row>
    <row r="32" spans="1:13" ht="12.75">
      <c r="A32" s="36" t="s">
        <v>533</v>
      </c>
      <c r="B32" s="36" t="s">
        <v>534</v>
      </c>
      <c r="C32" s="36" t="s">
        <v>535</v>
      </c>
      <c r="D32" s="36" t="str">
        <f>"0,6088"</f>
        <v>0,6088</v>
      </c>
      <c r="E32" s="36" t="s">
        <v>452</v>
      </c>
      <c r="F32" s="36" t="s">
        <v>453</v>
      </c>
      <c r="G32" s="37" t="s">
        <v>52</v>
      </c>
      <c r="H32" s="36" t="s">
        <v>52</v>
      </c>
      <c r="I32" s="37" t="s">
        <v>137</v>
      </c>
      <c r="J32" s="37"/>
      <c r="K32" s="36">
        <v>220</v>
      </c>
      <c r="L32" s="36" t="str">
        <f>"133,9360"</f>
        <v>133,9360</v>
      </c>
      <c r="M32" s="36" t="s">
        <v>54</v>
      </c>
    </row>
    <row r="33" spans="1:13" ht="12.75">
      <c r="A33" s="36" t="s">
        <v>537</v>
      </c>
      <c r="B33" s="36" t="s">
        <v>538</v>
      </c>
      <c r="C33" s="36" t="s">
        <v>539</v>
      </c>
      <c r="D33" s="36" t="str">
        <f>"0,6161"</f>
        <v>0,6161</v>
      </c>
      <c r="E33" s="36" t="s">
        <v>59</v>
      </c>
      <c r="F33" s="36" t="s">
        <v>60</v>
      </c>
      <c r="G33" s="36" t="s">
        <v>94</v>
      </c>
      <c r="H33" s="36" t="s">
        <v>540</v>
      </c>
      <c r="I33" s="37" t="s">
        <v>63</v>
      </c>
      <c r="J33" s="37"/>
      <c r="K33" s="36">
        <v>202.5</v>
      </c>
      <c r="L33" s="36" t="str">
        <f>"124,7603"</f>
        <v>124,7603</v>
      </c>
      <c r="M33" s="36" t="s">
        <v>541</v>
      </c>
    </row>
    <row r="34" spans="1:13" ht="12.75">
      <c r="A34" s="36" t="s">
        <v>543</v>
      </c>
      <c r="B34" s="36" t="s">
        <v>544</v>
      </c>
      <c r="C34" s="36" t="s">
        <v>545</v>
      </c>
      <c r="D34" s="36" t="str">
        <f>"0,6172"</f>
        <v>0,6172</v>
      </c>
      <c r="E34" s="36" t="s">
        <v>379</v>
      </c>
      <c r="F34" s="36" t="s">
        <v>546</v>
      </c>
      <c r="G34" s="36" t="s">
        <v>37</v>
      </c>
      <c r="H34" s="36" t="s">
        <v>40</v>
      </c>
      <c r="I34" s="37"/>
      <c r="J34" s="37"/>
      <c r="K34" s="36">
        <v>200</v>
      </c>
      <c r="L34" s="36" t="str">
        <f>"123,4400"</f>
        <v>123,4400</v>
      </c>
      <c r="M34" s="36" t="s">
        <v>547</v>
      </c>
    </row>
    <row r="35" spans="1:13" ht="12.75">
      <c r="A35" s="38" t="s">
        <v>549</v>
      </c>
      <c r="B35" s="38" t="s">
        <v>550</v>
      </c>
      <c r="C35" s="38" t="s">
        <v>535</v>
      </c>
      <c r="D35" s="38" t="str">
        <f>"0,6088"</f>
        <v>0,6088</v>
      </c>
      <c r="E35" s="38" t="s">
        <v>551</v>
      </c>
      <c r="F35" s="38" t="s">
        <v>552</v>
      </c>
      <c r="G35" s="38" t="s">
        <v>37</v>
      </c>
      <c r="H35" s="39" t="s">
        <v>540</v>
      </c>
      <c r="I35" s="39" t="s">
        <v>540</v>
      </c>
      <c r="J35" s="39"/>
      <c r="K35" s="38">
        <v>190</v>
      </c>
      <c r="L35" s="38" t="str">
        <f>"115,6720"</f>
        <v>115,6720</v>
      </c>
      <c r="M35" s="38" t="s">
        <v>553</v>
      </c>
    </row>
    <row r="37" spans="1:12" ht="15">
      <c r="A37" s="61" t="s">
        <v>145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3" ht="12.75">
      <c r="A38" s="34" t="s">
        <v>555</v>
      </c>
      <c r="B38" s="34" t="s">
        <v>556</v>
      </c>
      <c r="C38" s="34" t="s">
        <v>557</v>
      </c>
      <c r="D38" s="34" t="str">
        <f>"0,5928"</f>
        <v>0,5928</v>
      </c>
      <c r="E38" s="34" t="s">
        <v>18</v>
      </c>
      <c r="F38" s="34" t="s">
        <v>18</v>
      </c>
      <c r="G38" s="35" t="s">
        <v>61</v>
      </c>
      <c r="H38" s="34" t="s">
        <v>61</v>
      </c>
      <c r="I38" s="34" t="s">
        <v>179</v>
      </c>
      <c r="J38" s="35"/>
      <c r="K38" s="34">
        <v>192.5</v>
      </c>
      <c r="L38" s="34" t="str">
        <f>"114,1140"</f>
        <v>114,1140</v>
      </c>
      <c r="M38" s="34" t="s">
        <v>54</v>
      </c>
    </row>
    <row r="39" spans="1:13" ht="12.75">
      <c r="A39" s="36" t="s">
        <v>559</v>
      </c>
      <c r="B39" s="36" t="s">
        <v>560</v>
      </c>
      <c r="C39" s="36" t="s">
        <v>561</v>
      </c>
      <c r="D39" s="36" t="str">
        <f>"0,5914"</f>
        <v>0,5914</v>
      </c>
      <c r="E39" s="36" t="s">
        <v>562</v>
      </c>
      <c r="F39" s="36" t="s">
        <v>563</v>
      </c>
      <c r="G39" s="36" t="s">
        <v>52</v>
      </c>
      <c r="H39" s="37" t="s">
        <v>141</v>
      </c>
      <c r="I39" s="37" t="s">
        <v>141</v>
      </c>
      <c r="J39" s="37"/>
      <c r="K39" s="36">
        <v>220</v>
      </c>
      <c r="L39" s="36" t="str">
        <f>"130,1080"</f>
        <v>130,1080</v>
      </c>
      <c r="M39" s="36" t="s">
        <v>564</v>
      </c>
    </row>
    <row r="40" spans="1:13" ht="12.75">
      <c r="A40" s="36" t="s">
        <v>566</v>
      </c>
      <c r="B40" s="36" t="s">
        <v>567</v>
      </c>
      <c r="C40" s="36" t="s">
        <v>568</v>
      </c>
      <c r="D40" s="36" t="str">
        <f>"0,5897"</f>
        <v>0,5897</v>
      </c>
      <c r="E40" s="36" t="s">
        <v>18</v>
      </c>
      <c r="F40" s="36" t="s">
        <v>19</v>
      </c>
      <c r="G40" s="36" t="s">
        <v>40</v>
      </c>
      <c r="H40" s="36" t="s">
        <v>41</v>
      </c>
      <c r="I40" s="36" t="s">
        <v>50</v>
      </c>
      <c r="J40" s="37"/>
      <c r="K40" s="36">
        <v>217.5</v>
      </c>
      <c r="L40" s="36" t="str">
        <f>"128,2597"</f>
        <v>128,2597</v>
      </c>
      <c r="M40" s="36" t="s">
        <v>54</v>
      </c>
    </row>
    <row r="41" spans="1:13" ht="12.75">
      <c r="A41" s="36" t="s">
        <v>570</v>
      </c>
      <c r="B41" s="36" t="s">
        <v>571</v>
      </c>
      <c r="C41" s="36" t="s">
        <v>17</v>
      </c>
      <c r="D41" s="36" t="str">
        <f>"0,5923"</f>
        <v>0,5923</v>
      </c>
      <c r="E41" s="36" t="s">
        <v>204</v>
      </c>
      <c r="F41" s="36" t="s">
        <v>482</v>
      </c>
      <c r="G41" s="36" t="s">
        <v>540</v>
      </c>
      <c r="H41" s="36" t="s">
        <v>41</v>
      </c>
      <c r="I41" s="36" t="s">
        <v>42</v>
      </c>
      <c r="J41" s="37"/>
      <c r="K41" s="36">
        <v>215</v>
      </c>
      <c r="L41" s="36" t="str">
        <f>"127,3445"</f>
        <v>127,3445</v>
      </c>
      <c r="M41" s="36" t="s">
        <v>572</v>
      </c>
    </row>
    <row r="42" spans="1:13" ht="12.75">
      <c r="A42" s="38" t="s">
        <v>574</v>
      </c>
      <c r="B42" s="38" t="s">
        <v>575</v>
      </c>
      <c r="C42" s="38" t="s">
        <v>576</v>
      </c>
      <c r="D42" s="38" t="str">
        <f>"0,5986"</f>
        <v>0,5986</v>
      </c>
      <c r="E42" s="38" t="s">
        <v>18</v>
      </c>
      <c r="F42" s="38" t="s">
        <v>19</v>
      </c>
      <c r="G42" s="38" t="s">
        <v>36</v>
      </c>
      <c r="H42" s="39" t="s">
        <v>37</v>
      </c>
      <c r="I42" s="39" t="s">
        <v>37</v>
      </c>
      <c r="J42" s="39"/>
      <c r="K42" s="38">
        <v>180</v>
      </c>
      <c r="L42" s="38" t="str">
        <f>"107,7480"</f>
        <v>107,7480</v>
      </c>
      <c r="M42" s="38" t="s">
        <v>577</v>
      </c>
    </row>
    <row r="44" spans="1:12" ht="15">
      <c r="A44" s="61" t="s">
        <v>172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3" ht="12.75">
      <c r="A45" s="34" t="s">
        <v>579</v>
      </c>
      <c r="B45" s="34" t="s">
        <v>580</v>
      </c>
      <c r="C45" s="34" t="s">
        <v>581</v>
      </c>
      <c r="D45" s="34" t="str">
        <f>"0,5747"</f>
        <v>0,5747</v>
      </c>
      <c r="E45" s="34" t="s">
        <v>18</v>
      </c>
      <c r="F45" s="34" t="s">
        <v>19</v>
      </c>
      <c r="G45" s="34" t="s">
        <v>36</v>
      </c>
      <c r="H45" s="34" t="s">
        <v>37</v>
      </c>
      <c r="I45" s="34" t="s">
        <v>62</v>
      </c>
      <c r="J45" s="35"/>
      <c r="K45" s="34">
        <v>195</v>
      </c>
      <c r="L45" s="34" t="str">
        <f>"112,0665"</f>
        <v>112,0665</v>
      </c>
      <c r="M45" s="34" t="s">
        <v>582</v>
      </c>
    </row>
    <row r="46" spans="1:13" ht="12.75">
      <c r="A46" s="38" t="s">
        <v>584</v>
      </c>
      <c r="B46" s="38" t="s">
        <v>585</v>
      </c>
      <c r="C46" s="38" t="s">
        <v>586</v>
      </c>
      <c r="D46" s="38" t="str">
        <f>"0,5803"</f>
        <v>0,5803</v>
      </c>
      <c r="E46" s="38" t="s">
        <v>18</v>
      </c>
      <c r="F46" s="38" t="s">
        <v>19</v>
      </c>
      <c r="G46" s="38" t="s">
        <v>52</v>
      </c>
      <c r="H46" s="38" t="s">
        <v>587</v>
      </c>
      <c r="I46" s="38" t="s">
        <v>338</v>
      </c>
      <c r="J46" s="39"/>
      <c r="K46" s="38">
        <v>232.5</v>
      </c>
      <c r="L46" s="38" t="str">
        <f>"134,9197"</f>
        <v>134,9197</v>
      </c>
      <c r="M46" s="38" t="s">
        <v>54</v>
      </c>
    </row>
    <row r="48" spans="1:12" ht="15">
      <c r="A48" s="61" t="s">
        <v>189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3" ht="12.75">
      <c r="A49" s="34" t="s">
        <v>588</v>
      </c>
      <c r="B49" s="34" t="s">
        <v>589</v>
      </c>
      <c r="C49" s="34" t="s">
        <v>590</v>
      </c>
      <c r="D49" s="34" t="str">
        <f>"0,5657"</f>
        <v>0,5657</v>
      </c>
      <c r="E49" s="34" t="s">
        <v>204</v>
      </c>
      <c r="F49" s="34" t="s">
        <v>591</v>
      </c>
      <c r="G49" s="35" t="s">
        <v>40</v>
      </c>
      <c r="H49" s="34" t="s">
        <v>41</v>
      </c>
      <c r="I49" s="35" t="s">
        <v>141</v>
      </c>
      <c r="J49" s="35"/>
      <c r="K49" s="34">
        <v>210</v>
      </c>
      <c r="L49" s="34" t="str">
        <f>"118,7970"</f>
        <v>118,7970</v>
      </c>
      <c r="M49" s="34" t="s">
        <v>54</v>
      </c>
    </row>
    <row r="50" spans="1:13" ht="12.75">
      <c r="A50" s="36" t="s">
        <v>593</v>
      </c>
      <c r="B50" s="36" t="s">
        <v>594</v>
      </c>
      <c r="C50" s="36" t="s">
        <v>595</v>
      </c>
      <c r="D50" s="36" t="str">
        <f>"0,5635"</f>
        <v>0,5635</v>
      </c>
      <c r="E50" s="36" t="s">
        <v>204</v>
      </c>
      <c r="F50" s="36" t="s">
        <v>596</v>
      </c>
      <c r="G50" s="36" t="s">
        <v>22</v>
      </c>
      <c r="H50" s="37" t="s">
        <v>526</v>
      </c>
      <c r="I50" s="37" t="s">
        <v>526</v>
      </c>
      <c r="J50" s="37"/>
      <c r="K50" s="36">
        <v>175</v>
      </c>
      <c r="L50" s="36" t="str">
        <f>"98,6125"</f>
        <v>98,6125</v>
      </c>
      <c r="M50" s="36" t="s">
        <v>553</v>
      </c>
    </row>
    <row r="51" spans="1:13" ht="12.75">
      <c r="A51" s="38" t="s">
        <v>597</v>
      </c>
      <c r="B51" s="38" t="s">
        <v>598</v>
      </c>
      <c r="C51" s="38" t="s">
        <v>590</v>
      </c>
      <c r="D51" s="38" t="str">
        <f>"0,5657"</f>
        <v>0,5657</v>
      </c>
      <c r="E51" s="38" t="s">
        <v>204</v>
      </c>
      <c r="F51" s="38" t="s">
        <v>591</v>
      </c>
      <c r="G51" s="39" t="s">
        <v>40</v>
      </c>
      <c r="H51" s="38" t="s">
        <v>41</v>
      </c>
      <c r="I51" s="39" t="s">
        <v>141</v>
      </c>
      <c r="J51" s="39"/>
      <c r="K51" s="38">
        <v>210</v>
      </c>
      <c r="L51" s="38" t="str">
        <f>"118,7970"</f>
        <v>118,7970</v>
      </c>
      <c r="M51" s="38" t="s">
        <v>54</v>
      </c>
    </row>
    <row r="53" spans="1:12" ht="15">
      <c r="A53" s="61" t="s">
        <v>207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3" ht="12.75">
      <c r="A54" s="32" t="s">
        <v>600</v>
      </c>
      <c r="B54" s="32" t="s">
        <v>601</v>
      </c>
      <c r="C54" s="32" t="s">
        <v>602</v>
      </c>
      <c r="D54" s="32" t="str">
        <f>"0,5446"</f>
        <v>0,5446</v>
      </c>
      <c r="E54" s="32" t="s">
        <v>204</v>
      </c>
      <c r="F54" s="32" t="s">
        <v>351</v>
      </c>
      <c r="G54" s="32" t="s">
        <v>41</v>
      </c>
      <c r="H54" s="32" t="s">
        <v>52</v>
      </c>
      <c r="I54" s="32" t="s">
        <v>137</v>
      </c>
      <c r="J54" s="33"/>
      <c r="K54" s="32">
        <v>230</v>
      </c>
      <c r="L54" s="32" t="str">
        <f>"125,2580"</f>
        <v>125,2580</v>
      </c>
      <c r="M54" s="32" t="s">
        <v>603</v>
      </c>
    </row>
    <row r="56" ht="15">
      <c r="E56" s="40" t="s">
        <v>218</v>
      </c>
    </row>
    <row r="57" ht="15">
      <c r="E57" s="40" t="s">
        <v>219</v>
      </c>
    </row>
    <row r="58" ht="15">
      <c r="E58" s="40" t="s">
        <v>220</v>
      </c>
    </row>
    <row r="59" ht="15">
      <c r="E59" s="40" t="s">
        <v>221</v>
      </c>
    </row>
    <row r="60" ht="15">
      <c r="E60" s="40" t="s">
        <v>221</v>
      </c>
    </row>
    <row r="61" ht="15">
      <c r="E61" s="40" t="s">
        <v>222</v>
      </c>
    </row>
    <row r="62" ht="15">
      <c r="E62" s="40"/>
    </row>
    <row r="64" spans="1:2" ht="18">
      <c r="A64" s="41" t="s">
        <v>223</v>
      </c>
      <c r="B64" s="41"/>
    </row>
    <row r="65" spans="1:2" ht="15">
      <c r="A65" s="42" t="s">
        <v>234</v>
      </c>
      <c r="B65" s="42"/>
    </row>
    <row r="66" spans="1:2" ht="14.25">
      <c r="A66" s="44" t="s">
        <v>235</v>
      </c>
      <c r="B66" s="45"/>
    </row>
    <row r="67" spans="1:5" ht="15">
      <c r="A67" s="46" t="s">
        <v>226</v>
      </c>
      <c r="B67" s="46" t="s">
        <v>227</v>
      </c>
      <c r="C67" s="46" t="s">
        <v>228</v>
      </c>
      <c r="D67" s="46" t="s">
        <v>229</v>
      </c>
      <c r="E67" s="46" t="s">
        <v>230</v>
      </c>
    </row>
    <row r="68" spans="1:5" ht="12.75">
      <c r="A68" s="43" t="s">
        <v>448</v>
      </c>
      <c r="B68" s="31" t="s">
        <v>235</v>
      </c>
      <c r="C68" s="31" t="s">
        <v>274</v>
      </c>
      <c r="D68" s="31" t="s">
        <v>22</v>
      </c>
      <c r="E68" s="47" t="s">
        <v>604</v>
      </c>
    </row>
    <row r="69" spans="1:5" ht="12.75">
      <c r="A69" s="43" t="s">
        <v>478</v>
      </c>
      <c r="B69" s="31" t="s">
        <v>235</v>
      </c>
      <c r="C69" s="31" t="s">
        <v>246</v>
      </c>
      <c r="D69" s="31" t="s">
        <v>51</v>
      </c>
      <c r="E69" s="47" t="s">
        <v>605</v>
      </c>
    </row>
    <row r="71" spans="1:2" ht="14.25">
      <c r="A71" s="44" t="s">
        <v>245</v>
      </c>
      <c r="B71" s="45"/>
    </row>
    <row r="72" spans="1:5" ht="15">
      <c r="A72" s="46" t="s">
        <v>226</v>
      </c>
      <c r="B72" s="46" t="s">
        <v>227</v>
      </c>
      <c r="C72" s="46" t="s">
        <v>228</v>
      </c>
      <c r="D72" s="46" t="s">
        <v>229</v>
      </c>
      <c r="E72" s="46" t="s">
        <v>230</v>
      </c>
    </row>
    <row r="73" spans="1:5" ht="12.75">
      <c r="A73" s="43" t="s">
        <v>484</v>
      </c>
      <c r="B73" s="31" t="s">
        <v>245</v>
      </c>
      <c r="C73" s="31" t="s">
        <v>246</v>
      </c>
      <c r="D73" s="31" t="s">
        <v>36</v>
      </c>
      <c r="E73" s="47" t="s">
        <v>606</v>
      </c>
    </row>
    <row r="74" spans="1:5" ht="12.75">
      <c r="A74" s="43" t="s">
        <v>521</v>
      </c>
      <c r="B74" s="31" t="s">
        <v>245</v>
      </c>
      <c r="C74" s="31" t="s">
        <v>242</v>
      </c>
      <c r="D74" s="31" t="s">
        <v>37</v>
      </c>
      <c r="E74" s="47" t="s">
        <v>607</v>
      </c>
    </row>
    <row r="75" spans="1:5" ht="12.75">
      <c r="A75" s="43" t="s">
        <v>554</v>
      </c>
      <c r="B75" s="31" t="s">
        <v>245</v>
      </c>
      <c r="C75" s="31" t="s">
        <v>236</v>
      </c>
      <c r="D75" s="31" t="s">
        <v>179</v>
      </c>
      <c r="E75" s="47" t="s">
        <v>608</v>
      </c>
    </row>
    <row r="76" spans="1:5" ht="12.75">
      <c r="A76" s="43" t="s">
        <v>578</v>
      </c>
      <c r="B76" s="31" t="s">
        <v>245</v>
      </c>
      <c r="C76" s="31" t="s">
        <v>249</v>
      </c>
      <c r="D76" s="31" t="s">
        <v>62</v>
      </c>
      <c r="E76" s="47" t="s">
        <v>609</v>
      </c>
    </row>
    <row r="77" spans="1:5" ht="12.75">
      <c r="A77" s="43" t="s">
        <v>492</v>
      </c>
      <c r="B77" s="31" t="s">
        <v>245</v>
      </c>
      <c r="C77" s="31" t="s">
        <v>246</v>
      </c>
      <c r="D77" s="31" t="s">
        <v>35</v>
      </c>
      <c r="E77" s="47" t="s">
        <v>610</v>
      </c>
    </row>
    <row r="78" spans="1:5" ht="12.75">
      <c r="A78" s="43" t="s">
        <v>528</v>
      </c>
      <c r="B78" s="31" t="s">
        <v>245</v>
      </c>
      <c r="C78" s="31" t="s">
        <v>242</v>
      </c>
      <c r="D78" s="31" t="s">
        <v>490</v>
      </c>
      <c r="E78" s="47" t="s">
        <v>611</v>
      </c>
    </row>
    <row r="79" spans="1:5" ht="12.75">
      <c r="A79" s="43" t="s">
        <v>497</v>
      </c>
      <c r="B79" s="31" t="s">
        <v>245</v>
      </c>
      <c r="C79" s="31" t="s">
        <v>246</v>
      </c>
      <c r="D79" s="31" t="s">
        <v>20</v>
      </c>
      <c r="E79" s="47" t="s">
        <v>612</v>
      </c>
    </row>
    <row r="80" spans="1:5" ht="12.75">
      <c r="A80" s="43" t="s">
        <v>444</v>
      </c>
      <c r="B80" s="31" t="s">
        <v>245</v>
      </c>
      <c r="C80" s="31" t="s">
        <v>239</v>
      </c>
      <c r="D80" s="31" t="s">
        <v>118</v>
      </c>
      <c r="E80" s="47" t="s">
        <v>613</v>
      </c>
    </row>
    <row r="81" spans="1:5" ht="12.75">
      <c r="A81" s="43" t="s">
        <v>501</v>
      </c>
      <c r="B81" s="31" t="s">
        <v>245</v>
      </c>
      <c r="C81" s="31" t="s">
        <v>246</v>
      </c>
      <c r="D81" s="31" t="s">
        <v>27</v>
      </c>
      <c r="E81" s="47" t="s">
        <v>614</v>
      </c>
    </row>
    <row r="83" spans="1:2" ht="14.25">
      <c r="A83" s="44" t="s">
        <v>225</v>
      </c>
      <c r="B83" s="45"/>
    </row>
    <row r="84" spans="1:5" ht="15">
      <c r="A84" s="46" t="s">
        <v>226</v>
      </c>
      <c r="B84" s="46" t="s">
        <v>227</v>
      </c>
      <c r="C84" s="46" t="s">
        <v>228</v>
      </c>
      <c r="D84" s="46" t="s">
        <v>229</v>
      </c>
      <c r="E84" s="46" t="s">
        <v>230</v>
      </c>
    </row>
    <row r="85" spans="1:5" ht="12.75">
      <c r="A85" s="43" t="s">
        <v>583</v>
      </c>
      <c r="B85" s="31" t="s">
        <v>225</v>
      </c>
      <c r="C85" s="31" t="s">
        <v>249</v>
      </c>
      <c r="D85" s="31" t="s">
        <v>338</v>
      </c>
      <c r="E85" s="47" t="s">
        <v>615</v>
      </c>
    </row>
    <row r="86" spans="1:5" ht="12.75">
      <c r="A86" s="43" t="s">
        <v>532</v>
      </c>
      <c r="B86" s="31" t="s">
        <v>225</v>
      </c>
      <c r="C86" s="31" t="s">
        <v>242</v>
      </c>
      <c r="D86" s="31" t="s">
        <v>52</v>
      </c>
      <c r="E86" s="47" t="s">
        <v>616</v>
      </c>
    </row>
    <row r="87" spans="1:5" ht="12.75">
      <c r="A87" s="43" t="s">
        <v>558</v>
      </c>
      <c r="B87" s="31" t="s">
        <v>225</v>
      </c>
      <c r="C87" s="31" t="s">
        <v>236</v>
      </c>
      <c r="D87" s="31" t="s">
        <v>52</v>
      </c>
      <c r="E87" s="47" t="s">
        <v>617</v>
      </c>
    </row>
    <row r="88" spans="1:5" ht="12.75">
      <c r="A88" s="43" t="s">
        <v>565</v>
      </c>
      <c r="B88" s="31" t="s">
        <v>225</v>
      </c>
      <c r="C88" s="31" t="s">
        <v>236</v>
      </c>
      <c r="D88" s="31" t="s">
        <v>50</v>
      </c>
      <c r="E88" s="47" t="s">
        <v>618</v>
      </c>
    </row>
    <row r="89" spans="1:5" ht="12.75">
      <c r="A89" s="43" t="s">
        <v>569</v>
      </c>
      <c r="B89" s="31" t="s">
        <v>225</v>
      </c>
      <c r="C89" s="31" t="s">
        <v>236</v>
      </c>
      <c r="D89" s="31" t="s">
        <v>42</v>
      </c>
      <c r="E89" s="47" t="s">
        <v>619</v>
      </c>
    </row>
    <row r="90" spans="1:5" ht="12.75">
      <c r="A90" s="43" t="s">
        <v>536</v>
      </c>
      <c r="B90" s="31" t="s">
        <v>225</v>
      </c>
      <c r="C90" s="31" t="s">
        <v>242</v>
      </c>
      <c r="D90" s="31" t="s">
        <v>540</v>
      </c>
      <c r="E90" s="47" t="s">
        <v>620</v>
      </c>
    </row>
    <row r="91" spans="1:5" ht="12.75">
      <c r="A91" s="43" t="s">
        <v>542</v>
      </c>
      <c r="B91" s="31" t="s">
        <v>225</v>
      </c>
      <c r="C91" s="31" t="s">
        <v>242</v>
      </c>
      <c r="D91" s="31" t="s">
        <v>40</v>
      </c>
      <c r="E91" s="47" t="s">
        <v>621</v>
      </c>
    </row>
    <row r="92" spans="1:5" ht="12.75">
      <c r="A92" s="43" t="s">
        <v>505</v>
      </c>
      <c r="B92" s="31" t="s">
        <v>225</v>
      </c>
      <c r="C92" s="31" t="s">
        <v>246</v>
      </c>
      <c r="D92" s="31" t="s">
        <v>37</v>
      </c>
      <c r="E92" s="47" t="s">
        <v>622</v>
      </c>
    </row>
    <row r="93" spans="1:5" ht="12.75">
      <c r="A93" s="43" t="s">
        <v>588</v>
      </c>
      <c r="B93" s="31" t="s">
        <v>225</v>
      </c>
      <c r="C93" s="31" t="s">
        <v>263</v>
      </c>
      <c r="D93" s="31" t="s">
        <v>41</v>
      </c>
      <c r="E93" s="47" t="s">
        <v>623</v>
      </c>
    </row>
    <row r="94" spans="1:5" ht="12.75">
      <c r="A94" s="43" t="s">
        <v>455</v>
      </c>
      <c r="B94" s="31" t="s">
        <v>225</v>
      </c>
      <c r="C94" s="31" t="s">
        <v>274</v>
      </c>
      <c r="D94" s="31" t="s">
        <v>461</v>
      </c>
      <c r="E94" s="47" t="s">
        <v>624</v>
      </c>
    </row>
    <row r="95" spans="1:5" ht="12.75">
      <c r="A95" s="43" t="s">
        <v>548</v>
      </c>
      <c r="B95" s="31" t="s">
        <v>225</v>
      </c>
      <c r="C95" s="31" t="s">
        <v>242</v>
      </c>
      <c r="D95" s="31" t="s">
        <v>37</v>
      </c>
      <c r="E95" s="47" t="s">
        <v>625</v>
      </c>
    </row>
    <row r="96" spans="1:5" ht="12.75">
      <c r="A96" s="43" t="s">
        <v>510</v>
      </c>
      <c r="B96" s="31" t="s">
        <v>225</v>
      </c>
      <c r="C96" s="31" t="s">
        <v>246</v>
      </c>
      <c r="D96" s="31" t="s">
        <v>35</v>
      </c>
      <c r="E96" s="47" t="s">
        <v>626</v>
      </c>
    </row>
    <row r="97" spans="1:5" ht="12.75">
      <c r="A97" s="43" t="s">
        <v>463</v>
      </c>
      <c r="B97" s="31" t="s">
        <v>225</v>
      </c>
      <c r="C97" s="31" t="s">
        <v>274</v>
      </c>
      <c r="D97" s="31" t="s">
        <v>121</v>
      </c>
      <c r="E97" s="47" t="s">
        <v>627</v>
      </c>
    </row>
    <row r="98" spans="1:5" ht="12.75">
      <c r="A98" s="43" t="s">
        <v>573</v>
      </c>
      <c r="B98" s="31" t="s">
        <v>225</v>
      </c>
      <c r="C98" s="31" t="s">
        <v>236</v>
      </c>
      <c r="D98" s="31" t="s">
        <v>36</v>
      </c>
      <c r="E98" s="47" t="s">
        <v>628</v>
      </c>
    </row>
    <row r="99" spans="1:5" ht="12.75">
      <c r="A99" s="43" t="s">
        <v>440</v>
      </c>
      <c r="B99" s="31" t="s">
        <v>225</v>
      </c>
      <c r="C99" s="31" t="s">
        <v>629</v>
      </c>
      <c r="D99" s="31" t="s">
        <v>26</v>
      </c>
      <c r="E99" s="47" t="s">
        <v>630</v>
      </c>
    </row>
    <row r="100" spans="1:5" ht="12.75">
      <c r="A100" s="43" t="s">
        <v>55</v>
      </c>
      <c r="B100" s="31" t="s">
        <v>225</v>
      </c>
      <c r="C100" s="31" t="s">
        <v>274</v>
      </c>
      <c r="D100" s="31" t="s">
        <v>471</v>
      </c>
      <c r="E100" s="47" t="s">
        <v>631</v>
      </c>
    </row>
    <row r="101" spans="1:5" ht="12.75">
      <c r="A101" s="43" t="s">
        <v>592</v>
      </c>
      <c r="B101" s="31" t="s">
        <v>225</v>
      </c>
      <c r="C101" s="31" t="s">
        <v>263</v>
      </c>
      <c r="D101" s="31" t="s">
        <v>22</v>
      </c>
      <c r="E101" s="47" t="s">
        <v>632</v>
      </c>
    </row>
    <row r="102" spans="1:5" ht="12.75">
      <c r="A102" s="43" t="s">
        <v>517</v>
      </c>
      <c r="B102" s="31" t="s">
        <v>225</v>
      </c>
      <c r="C102" s="31" t="s">
        <v>246</v>
      </c>
      <c r="D102" s="31" t="s">
        <v>20</v>
      </c>
      <c r="E102" s="47" t="s">
        <v>633</v>
      </c>
    </row>
    <row r="103" spans="1:5" ht="12.75">
      <c r="A103" s="43" t="s">
        <v>472</v>
      </c>
      <c r="B103" s="31" t="s">
        <v>225</v>
      </c>
      <c r="C103" s="31" t="s">
        <v>274</v>
      </c>
      <c r="D103" s="31" t="s">
        <v>476</v>
      </c>
      <c r="E103" s="47" t="s">
        <v>634</v>
      </c>
    </row>
    <row r="105" spans="1:2" ht="14.25">
      <c r="A105" s="44" t="s">
        <v>281</v>
      </c>
      <c r="B105" s="45"/>
    </row>
    <row r="106" spans="1:5" ht="15">
      <c r="A106" s="46" t="s">
        <v>226</v>
      </c>
      <c r="B106" s="46" t="s">
        <v>227</v>
      </c>
      <c r="C106" s="46" t="s">
        <v>228</v>
      </c>
      <c r="D106" s="46" t="s">
        <v>229</v>
      </c>
      <c r="E106" s="46" t="s">
        <v>230</v>
      </c>
    </row>
    <row r="107" spans="1:5" ht="12.75">
      <c r="A107" s="43" t="s">
        <v>599</v>
      </c>
      <c r="B107" s="31" t="s">
        <v>281</v>
      </c>
      <c r="C107" s="31" t="s">
        <v>256</v>
      </c>
      <c r="D107" s="31" t="s">
        <v>137</v>
      </c>
      <c r="E107" s="47" t="s">
        <v>635</v>
      </c>
    </row>
    <row r="108" spans="1:5" ht="12.75">
      <c r="A108" s="43" t="s">
        <v>588</v>
      </c>
      <c r="B108" s="31" t="s">
        <v>281</v>
      </c>
      <c r="C108" s="31" t="s">
        <v>263</v>
      </c>
      <c r="D108" s="31" t="s">
        <v>41</v>
      </c>
      <c r="E108" s="47" t="s">
        <v>623</v>
      </c>
    </row>
    <row r="109" spans="1:5" ht="12.75">
      <c r="A109" s="43" t="s">
        <v>455</v>
      </c>
      <c r="B109" s="31" t="s">
        <v>281</v>
      </c>
      <c r="C109" s="31" t="s">
        <v>274</v>
      </c>
      <c r="D109" s="31" t="s">
        <v>461</v>
      </c>
      <c r="E109" s="47" t="s">
        <v>624</v>
      </c>
    </row>
    <row r="114" spans="1:2" ht="18">
      <c r="A114" s="41" t="s">
        <v>283</v>
      </c>
      <c r="B114" s="41"/>
    </row>
    <row r="115" spans="1:3" ht="15">
      <c r="A115" s="46" t="s">
        <v>284</v>
      </c>
      <c r="B115" s="46" t="s">
        <v>285</v>
      </c>
      <c r="C115" s="46" t="s">
        <v>286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9:L19"/>
    <mergeCell ref="A29:L29"/>
    <mergeCell ref="A37:L37"/>
    <mergeCell ref="A44:L44"/>
    <mergeCell ref="A48:L48"/>
    <mergeCell ref="A53:L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1.875" style="31" bestFit="1" customWidth="1"/>
    <col min="2" max="2" width="25.00390625" style="31" bestFit="1" customWidth="1"/>
    <col min="3" max="3" width="12.25390625" style="31" bestFit="1" customWidth="1"/>
    <col min="4" max="4" width="8.375" style="31" bestFit="1" customWidth="1"/>
    <col min="5" max="5" width="22.75390625" style="31" bestFit="1" customWidth="1"/>
    <col min="6" max="6" width="36.75390625" style="31" bestFit="1" customWidth="1"/>
    <col min="7" max="9" width="5.625" style="31" bestFit="1" customWidth="1"/>
    <col min="10" max="10" width="4.625" style="31" bestFit="1" customWidth="1"/>
    <col min="11" max="13" width="5.625" style="31" bestFit="1" customWidth="1"/>
    <col min="14" max="14" width="4.625" style="31" bestFit="1" customWidth="1"/>
    <col min="15" max="17" width="5.625" style="31" bestFit="1" customWidth="1"/>
    <col min="18" max="18" width="4.625" style="31" bestFit="1" customWidth="1"/>
    <col min="19" max="19" width="7.875" style="31" bestFit="1" customWidth="1"/>
    <col min="20" max="20" width="8.625" style="31" bestFit="1" customWidth="1"/>
    <col min="21" max="21" width="18.00390625" style="31" bestFit="1" customWidth="1"/>
  </cols>
  <sheetData>
    <row r="1" spans="1:21" s="1" customFormat="1" ht="15" customHeight="1">
      <c r="A1" s="52" t="s">
        <v>1041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1" customFormat="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48" t="s">
        <v>4</v>
      </c>
      <c r="T3" s="48" t="s">
        <v>7</v>
      </c>
      <c r="U3" s="50" t="s">
        <v>6</v>
      </c>
    </row>
    <row r="4" spans="1:21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9"/>
      <c r="T4" s="49"/>
      <c r="U4" s="51"/>
    </row>
    <row r="5" spans="1:20" ht="15">
      <c r="A5" s="62" t="s">
        <v>287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 ht="12.75">
      <c r="A6" s="32" t="s">
        <v>289</v>
      </c>
      <c r="B6" s="32" t="s">
        <v>290</v>
      </c>
      <c r="C6" s="32" t="s">
        <v>291</v>
      </c>
      <c r="D6" s="32" t="str">
        <f>"1,4936"</f>
        <v>1,4936</v>
      </c>
      <c r="E6" s="32" t="s">
        <v>292</v>
      </c>
      <c r="F6" s="32" t="s">
        <v>293</v>
      </c>
      <c r="G6" s="32" t="s">
        <v>294</v>
      </c>
      <c r="H6" s="33" t="s">
        <v>295</v>
      </c>
      <c r="I6" s="33" t="s">
        <v>295</v>
      </c>
      <c r="J6" s="33"/>
      <c r="K6" s="32" t="s">
        <v>296</v>
      </c>
      <c r="L6" s="32" t="s">
        <v>297</v>
      </c>
      <c r="M6" s="33" t="s">
        <v>298</v>
      </c>
      <c r="N6" s="33"/>
      <c r="O6" s="32" t="s">
        <v>295</v>
      </c>
      <c r="P6" s="32" t="s">
        <v>299</v>
      </c>
      <c r="Q6" s="33"/>
      <c r="R6" s="33"/>
      <c r="S6" s="32">
        <v>152.5</v>
      </c>
      <c r="T6" s="32" t="str">
        <f>"227,7740"</f>
        <v>227,7740</v>
      </c>
      <c r="U6" s="32" t="s">
        <v>300</v>
      </c>
    </row>
    <row r="8" spans="1:20" ht="15">
      <c r="A8" s="61" t="s">
        <v>301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 ht="12.75">
      <c r="A9" s="32" t="s">
        <v>303</v>
      </c>
      <c r="B9" s="32" t="s">
        <v>304</v>
      </c>
      <c r="C9" s="32" t="s">
        <v>305</v>
      </c>
      <c r="D9" s="32" t="str">
        <f>"1,1325"</f>
        <v>1,1325</v>
      </c>
      <c r="E9" s="32" t="s">
        <v>18</v>
      </c>
      <c r="F9" s="32" t="s">
        <v>18</v>
      </c>
      <c r="G9" s="33" t="s">
        <v>299</v>
      </c>
      <c r="H9" s="33" t="s">
        <v>306</v>
      </c>
      <c r="I9" s="32" t="s">
        <v>306</v>
      </c>
      <c r="J9" s="33"/>
      <c r="K9" s="33" t="s">
        <v>297</v>
      </c>
      <c r="L9" s="32" t="s">
        <v>298</v>
      </c>
      <c r="M9" s="32" t="s">
        <v>307</v>
      </c>
      <c r="N9" s="33"/>
      <c r="O9" s="33" t="s">
        <v>295</v>
      </c>
      <c r="P9" s="32" t="s">
        <v>295</v>
      </c>
      <c r="Q9" s="32" t="s">
        <v>299</v>
      </c>
      <c r="R9" s="33"/>
      <c r="S9" s="32">
        <v>175</v>
      </c>
      <c r="T9" s="32" t="str">
        <f>"198,1875"</f>
        <v>198,1875</v>
      </c>
      <c r="U9" s="32" t="s">
        <v>308</v>
      </c>
    </row>
    <row r="11" spans="1:20" ht="15">
      <c r="A11" s="61" t="s">
        <v>301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1" ht="12.75">
      <c r="A12" s="32" t="s">
        <v>310</v>
      </c>
      <c r="B12" s="32" t="s">
        <v>311</v>
      </c>
      <c r="C12" s="32" t="s">
        <v>312</v>
      </c>
      <c r="D12" s="32" t="str">
        <f>"0,8542"</f>
        <v>0,8542</v>
      </c>
      <c r="E12" s="32" t="s">
        <v>18</v>
      </c>
      <c r="F12" s="32" t="s">
        <v>18</v>
      </c>
      <c r="G12" s="32" t="s">
        <v>118</v>
      </c>
      <c r="H12" s="33" t="s">
        <v>27</v>
      </c>
      <c r="I12" s="32" t="s">
        <v>27</v>
      </c>
      <c r="J12" s="33"/>
      <c r="K12" s="32" t="s">
        <v>24</v>
      </c>
      <c r="L12" s="33" t="s">
        <v>313</v>
      </c>
      <c r="M12" s="33" t="s">
        <v>313</v>
      </c>
      <c r="N12" s="33"/>
      <c r="O12" s="32" t="s">
        <v>27</v>
      </c>
      <c r="P12" s="32" t="s">
        <v>163</v>
      </c>
      <c r="Q12" s="33" t="s">
        <v>140</v>
      </c>
      <c r="R12" s="33"/>
      <c r="S12" s="32">
        <v>370</v>
      </c>
      <c r="T12" s="32" t="str">
        <f>"316,0540"</f>
        <v>316,0540</v>
      </c>
      <c r="U12" s="32" t="s">
        <v>314</v>
      </c>
    </row>
    <row r="14" spans="1:20" ht="15">
      <c r="A14" s="61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1" ht="12.75">
      <c r="A15" s="34" t="s">
        <v>316</v>
      </c>
      <c r="B15" s="34" t="s">
        <v>317</v>
      </c>
      <c r="C15" s="34" t="s">
        <v>318</v>
      </c>
      <c r="D15" s="34" t="str">
        <f>"0,7126"</f>
        <v>0,7126</v>
      </c>
      <c r="E15" s="34" t="s">
        <v>110</v>
      </c>
      <c r="F15" s="34" t="s">
        <v>111</v>
      </c>
      <c r="G15" s="34" t="s">
        <v>40</v>
      </c>
      <c r="H15" s="34" t="s">
        <v>41</v>
      </c>
      <c r="I15" s="35" t="s">
        <v>52</v>
      </c>
      <c r="J15" s="35"/>
      <c r="K15" s="34" t="s">
        <v>39</v>
      </c>
      <c r="L15" s="34" t="s">
        <v>118</v>
      </c>
      <c r="M15" s="34" t="s">
        <v>85</v>
      </c>
      <c r="N15" s="35"/>
      <c r="O15" s="34" t="s">
        <v>62</v>
      </c>
      <c r="P15" s="34" t="s">
        <v>41</v>
      </c>
      <c r="Q15" s="34" t="s">
        <v>319</v>
      </c>
      <c r="R15" s="35"/>
      <c r="S15" s="34">
        <v>555</v>
      </c>
      <c r="T15" s="34" t="str">
        <f>"395,4930"</f>
        <v>395,4930</v>
      </c>
      <c r="U15" s="34" t="s">
        <v>320</v>
      </c>
    </row>
    <row r="16" spans="1:21" ht="12.75">
      <c r="A16" s="36" t="s">
        <v>322</v>
      </c>
      <c r="B16" s="36" t="s">
        <v>323</v>
      </c>
      <c r="C16" s="36" t="s">
        <v>324</v>
      </c>
      <c r="D16" s="36" t="str">
        <f>"0,7221"</f>
        <v>0,7221</v>
      </c>
      <c r="E16" s="36" t="s">
        <v>100</v>
      </c>
      <c r="F16" s="36" t="s">
        <v>101</v>
      </c>
      <c r="G16" s="37" t="s">
        <v>35</v>
      </c>
      <c r="H16" s="36" t="s">
        <v>35</v>
      </c>
      <c r="I16" s="37" t="s">
        <v>61</v>
      </c>
      <c r="J16" s="37"/>
      <c r="K16" s="37" t="s">
        <v>120</v>
      </c>
      <c r="L16" s="36" t="s">
        <v>120</v>
      </c>
      <c r="M16" s="37" t="s">
        <v>325</v>
      </c>
      <c r="N16" s="37"/>
      <c r="O16" s="36" t="s">
        <v>41</v>
      </c>
      <c r="P16" s="37" t="s">
        <v>52</v>
      </c>
      <c r="Q16" s="36" t="s">
        <v>52</v>
      </c>
      <c r="R16" s="37"/>
      <c r="S16" s="36">
        <v>500</v>
      </c>
      <c r="T16" s="36" t="str">
        <f>"361,0500"</f>
        <v>361,0500</v>
      </c>
      <c r="U16" s="36" t="s">
        <v>326</v>
      </c>
    </row>
    <row r="17" spans="1:21" ht="12.75">
      <c r="A17" s="38" t="s">
        <v>328</v>
      </c>
      <c r="B17" s="38" t="s">
        <v>329</v>
      </c>
      <c r="C17" s="38" t="s">
        <v>330</v>
      </c>
      <c r="D17" s="38" t="str">
        <f>"0,7235"</f>
        <v>0,7235</v>
      </c>
      <c r="E17" s="38" t="s">
        <v>18</v>
      </c>
      <c r="F17" s="38" t="s">
        <v>18</v>
      </c>
      <c r="G17" s="38" t="s">
        <v>38</v>
      </c>
      <c r="H17" s="38" t="s">
        <v>118</v>
      </c>
      <c r="I17" s="39" t="s">
        <v>27</v>
      </c>
      <c r="J17" s="39"/>
      <c r="K17" s="39" t="s">
        <v>331</v>
      </c>
      <c r="L17" s="38" t="s">
        <v>331</v>
      </c>
      <c r="M17" s="38" t="s">
        <v>332</v>
      </c>
      <c r="N17" s="39"/>
      <c r="O17" s="38" t="s">
        <v>20</v>
      </c>
      <c r="P17" s="38" t="s">
        <v>121</v>
      </c>
      <c r="Q17" s="38" t="s">
        <v>35</v>
      </c>
      <c r="R17" s="39"/>
      <c r="S17" s="38">
        <v>400</v>
      </c>
      <c r="T17" s="38" t="str">
        <f>"289,4000"</f>
        <v>289,4000</v>
      </c>
      <c r="U17" s="38" t="s">
        <v>54</v>
      </c>
    </row>
    <row r="19" spans="1:20" ht="15">
      <c r="A19" s="61" t="s">
        <v>45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1" ht="12.75">
      <c r="A20" s="34" t="s">
        <v>334</v>
      </c>
      <c r="B20" s="34" t="s">
        <v>335</v>
      </c>
      <c r="C20" s="34" t="s">
        <v>336</v>
      </c>
      <c r="D20" s="34" t="str">
        <f>"0,6709"</f>
        <v>0,6709</v>
      </c>
      <c r="E20" s="34" t="s">
        <v>59</v>
      </c>
      <c r="F20" s="34" t="s">
        <v>337</v>
      </c>
      <c r="G20" s="34" t="s">
        <v>37</v>
      </c>
      <c r="H20" s="34" t="s">
        <v>40</v>
      </c>
      <c r="I20" s="34" t="s">
        <v>42</v>
      </c>
      <c r="J20" s="35"/>
      <c r="K20" s="34" t="s">
        <v>118</v>
      </c>
      <c r="L20" s="34" t="s">
        <v>27</v>
      </c>
      <c r="M20" s="35"/>
      <c r="N20" s="35"/>
      <c r="O20" s="34" t="s">
        <v>42</v>
      </c>
      <c r="P20" s="34" t="s">
        <v>215</v>
      </c>
      <c r="Q20" s="34" t="s">
        <v>338</v>
      </c>
      <c r="R20" s="35"/>
      <c r="S20" s="34">
        <v>587.5</v>
      </c>
      <c r="T20" s="34" t="str">
        <f>"394,1537"</f>
        <v>394,1537</v>
      </c>
      <c r="U20" s="34" t="s">
        <v>54</v>
      </c>
    </row>
    <row r="21" spans="1:21" ht="12.75">
      <c r="A21" s="36" t="s">
        <v>340</v>
      </c>
      <c r="B21" s="36" t="s">
        <v>341</v>
      </c>
      <c r="C21" s="36" t="s">
        <v>342</v>
      </c>
      <c r="D21" s="36" t="str">
        <f>"0,6779"</f>
        <v>0,6779</v>
      </c>
      <c r="E21" s="36" t="s">
        <v>18</v>
      </c>
      <c r="F21" s="36" t="s">
        <v>18</v>
      </c>
      <c r="G21" s="36" t="s">
        <v>61</v>
      </c>
      <c r="H21" s="36" t="s">
        <v>40</v>
      </c>
      <c r="I21" s="36" t="s">
        <v>86</v>
      </c>
      <c r="J21" s="37"/>
      <c r="K21" s="36" t="s">
        <v>118</v>
      </c>
      <c r="L21" s="36" t="s">
        <v>27</v>
      </c>
      <c r="M21" s="36" t="s">
        <v>20</v>
      </c>
      <c r="N21" s="37"/>
      <c r="O21" s="36" t="s">
        <v>22</v>
      </c>
      <c r="P21" s="36" t="s">
        <v>37</v>
      </c>
      <c r="Q21" s="37" t="s">
        <v>86</v>
      </c>
      <c r="R21" s="37"/>
      <c r="S21" s="36">
        <v>545</v>
      </c>
      <c r="T21" s="36" t="str">
        <f>"369,4555"</f>
        <v>369,4555</v>
      </c>
      <c r="U21" s="36" t="s">
        <v>343</v>
      </c>
    </row>
    <row r="22" spans="1:21" ht="12.75">
      <c r="A22" s="38" t="s">
        <v>345</v>
      </c>
      <c r="B22" s="38" t="s">
        <v>346</v>
      </c>
      <c r="C22" s="38" t="s">
        <v>342</v>
      </c>
      <c r="D22" s="38" t="str">
        <f>"0,6779"</f>
        <v>0,6779</v>
      </c>
      <c r="E22" s="38" t="s">
        <v>18</v>
      </c>
      <c r="F22" s="38" t="s">
        <v>18</v>
      </c>
      <c r="G22" s="38" t="s">
        <v>36</v>
      </c>
      <c r="H22" s="39" t="s">
        <v>62</v>
      </c>
      <c r="I22" s="38" t="s">
        <v>62</v>
      </c>
      <c r="J22" s="39"/>
      <c r="K22" s="38" t="s">
        <v>331</v>
      </c>
      <c r="L22" s="39" t="s">
        <v>332</v>
      </c>
      <c r="M22" s="38" t="s">
        <v>332</v>
      </c>
      <c r="N22" s="39"/>
      <c r="O22" s="39" t="s">
        <v>36</v>
      </c>
      <c r="P22" s="38" t="s">
        <v>36</v>
      </c>
      <c r="Q22" s="39" t="s">
        <v>61</v>
      </c>
      <c r="R22" s="39"/>
      <c r="S22" s="38">
        <v>475</v>
      </c>
      <c r="T22" s="38" t="str">
        <f>"322,0025"</f>
        <v>322,0025</v>
      </c>
      <c r="U22" s="38" t="s">
        <v>54</v>
      </c>
    </row>
    <row r="24" spans="1:20" ht="15">
      <c r="A24" s="61" t="s">
        <v>68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1" ht="12.75">
      <c r="A25" s="34" t="s">
        <v>348</v>
      </c>
      <c r="B25" s="34" t="s">
        <v>349</v>
      </c>
      <c r="C25" s="34" t="s">
        <v>350</v>
      </c>
      <c r="D25" s="34" t="str">
        <f>"0,6570"</f>
        <v>0,6570</v>
      </c>
      <c r="E25" s="34" t="s">
        <v>204</v>
      </c>
      <c r="F25" s="34" t="s">
        <v>351</v>
      </c>
      <c r="G25" s="34" t="s">
        <v>35</v>
      </c>
      <c r="H25" s="34" t="s">
        <v>36</v>
      </c>
      <c r="I25" s="34" t="s">
        <v>62</v>
      </c>
      <c r="J25" s="35"/>
      <c r="K25" s="34" t="s">
        <v>120</v>
      </c>
      <c r="L25" s="34" t="s">
        <v>38</v>
      </c>
      <c r="M25" s="34" t="s">
        <v>118</v>
      </c>
      <c r="N25" s="35"/>
      <c r="O25" s="34" t="s">
        <v>36</v>
      </c>
      <c r="P25" s="34" t="s">
        <v>62</v>
      </c>
      <c r="Q25" s="34" t="s">
        <v>41</v>
      </c>
      <c r="R25" s="35"/>
      <c r="S25" s="34">
        <v>535</v>
      </c>
      <c r="T25" s="34" t="str">
        <f>"351,4950"</f>
        <v>351,4950</v>
      </c>
      <c r="U25" s="34" t="s">
        <v>352</v>
      </c>
    </row>
    <row r="26" spans="1:21" ht="12.75">
      <c r="A26" s="36" t="s">
        <v>353</v>
      </c>
      <c r="B26" s="36" t="s">
        <v>354</v>
      </c>
      <c r="C26" s="36" t="s">
        <v>355</v>
      </c>
      <c r="D26" s="36" t="str">
        <f>"0,6680"</f>
        <v>0,6680</v>
      </c>
      <c r="E26" s="36" t="s">
        <v>204</v>
      </c>
      <c r="F26" s="36" t="s">
        <v>356</v>
      </c>
      <c r="G26" s="37" t="s">
        <v>61</v>
      </c>
      <c r="H26" s="37" t="s">
        <v>37</v>
      </c>
      <c r="I26" s="37" t="s">
        <v>62</v>
      </c>
      <c r="J26" s="37"/>
      <c r="K26" s="37"/>
      <c r="L26" s="37"/>
      <c r="M26" s="37"/>
      <c r="N26" s="37"/>
      <c r="O26" s="37"/>
      <c r="P26" s="37"/>
      <c r="Q26" s="37"/>
      <c r="R26" s="37"/>
      <c r="S26" s="36">
        <v>0</v>
      </c>
      <c r="T26" s="36" t="str">
        <f>"0,0000"</f>
        <v>0,0000</v>
      </c>
      <c r="U26" s="36" t="s">
        <v>54</v>
      </c>
    </row>
    <row r="27" spans="1:21" ht="12.75">
      <c r="A27" s="36" t="s">
        <v>358</v>
      </c>
      <c r="B27" s="36" t="s">
        <v>359</v>
      </c>
      <c r="C27" s="36" t="s">
        <v>360</v>
      </c>
      <c r="D27" s="36" t="str">
        <f>"0,6540"</f>
        <v>0,6540</v>
      </c>
      <c r="E27" s="36" t="s">
        <v>361</v>
      </c>
      <c r="F27" s="36" t="s">
        <v>362</v>
      </c>
      <c r="G27" s="36" t="s">
        <v>35</v>
      </c>
      <c r="H27" s="36" t="s">
        <v>36</v>
      </c>
      <c r="I27" s="37" t="s">
        <v>37</v>
      </c>
      <c r="J27" s="37"/>
      <c r="K27" s="36" t="s">
        <v>363</v>
      </c>
      <c r="L27" s="36" t="s">
        <v>332</v>
      </c>
      <c r="M27" s="36" t="s">
        <v>117</v>
      </c>
      <c r="N27" s="37"/>
      <c r="O27" s="36" t="s">
        <v>21</v>
      </c>
      <c r="P27" s="36" t="s">
        <v>22</v>
      </c>
      <c r="Q27" s="36" t="s">
        <v>61</v>
      </c>
      <c r="R27" s="37"/>
      <c r="S27" s="36">
        <v>470</v>
      </c>
      <c r="T27" s="36" t="str">
        <f>"307,3800"</f>
        <v>307,3800</v>
      </c>
      <c r="U27" s="36" t="s">
        <v>54</v>
      </c>
    </row>
    <row r="28" spans="1:21" ht="12.75">
      <c r="A28" s="38" t="s">
        <v>365</v>
      </c>
      <c r="B28" s="38" t="s">
        <v>366</v>
      </c>
      <c r="C28" s="38" t="s">
        <v>367</v>
      </c>
      <c r="D28" s="38" t="str">
        <f>"0,6388"</f>
        <v>0,6388</v>
      </c>
      <c r="E28" s="38" t="s">
        <v>18</v>
      </c>
      <c r="F28" s="38" t="s">
        <v>18</v>
      </c>
      <c r="G28" s="38" t="s">
        <v>61</v>
      </c>
      <c r="H28" s="38" t="s">
        <v>40</v>
      </c>
      <c r="I28" s="38" t="s">
        <v>41</v>
      </c>
      <c r="J28" s="39"/>
      <c r="K28" s="38" t="s">
        <v>38</v>
      </c>
      <c r="L28" s="38" t="s">
        <v>118</v>
      </c>
      <c r="M28" s="38" t="s">
        <v>85</v>
      </c>
      <c r="N28" s="39"/>
      <c r="O28" s="38" t="s">
        <v>36</v>
      </c>
      <c r="P28" s="38" t="s">
        <v>37</v>
      </c>
      <c r="Q28" s="38" t="s">
        <v>40</v>
      </c>
      <c r="R28" s="39"/>
      <c r="S28" s="38">
        <v>542.5</v>
      </c>
      <c r="T28" s="38" t="str">
        <f>"346,5490"</f>
        <v>346,5490</v>
      </c>
      <c r="U28" s="38" t="s">
        <v>54</v>
      </c>
    </row>
    <row r="30" spans="1:20" ht="15">
      <c r="A30" s="61" t="s">
        <v>113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1" ht="12.75">
      <c r="A31" s="34" t="s">
        <v>368</v>
      </c>
      <c r="B31" s="34" t="s">
        <v>369</v>
      </c>
      <c r="C31" s="34" t="s">
        <v>370</v>
      </c>
      <c r="D31" s="34" t="str">
        <f>"0,6214"</f>
        <v>0,6214</v>
      </c>
      <c r="E31" s="34" t="s">
        <v>18</v>
      </c>
      <c r="F31" s="34" t="s">
        <v>18</v>
      </c>
      <c r="G31" s="35" t="s">
        <v>52</v>
      </c>
      <c r="H31" s="35" t="s">
        <v>52</v>
      </c>
      <c r="I31" s="35" t="s">
        <v>52</v>
      </c>
      <c r="J31" s="35"/>
      <c r="K31" s="35"/>
      <c r="L31" s="35"/>
      <c r="M31" s="35"/>
      <c r="N31" s="35"/>
      <c r="O31" s="35" t="s">
        <v>137</v>
      </c>
      <c r="P31" s="35"/>
      <c r="Q31" s="35"/>
      <c r="R31" s="35"/>
      <c r="S31" s="34">
        <v>0</v>
      </c>
      <c r="T31" s="34" t="str">
        <f>"0,0000"</f>
        <v>0,0000</v>
      </c>
      <c r="U31" s="34" t="s">
        <v>54</v>
      </c>
    </row>
    <row r="32" spans="1:21" ht="12.75">
      <c r="A32" s="38" t="s">
        <v>371</v>
      </c>
      <c r="B32" s="38" t="s">
        <v>372</v>
      </c>
      <c r="C32" s="38" t="s">
        <v>126</v>
      </c>
      <c r="D32" s="38" t="str">
        <f>"0,6136"</f>
        <v>0,6136</v>
      </c>
      <c r="E32" s="38" t="s">
        <v>373</v>
      </c>
      <c r="F32" s="38" t="s">
        <v>374</v>
      </c>
      <c r="G32" s="39" t="s">
        <v>178</v>
      </c>
      <c r="H32" s="39" t="s">
        <v>178</v>
      </c>
      <c r="I32" s="39" t="s">
        <v>178</v>
      </c>
      <c r="J32" s="39"/>
      <c r="K32" s="39"/>
      <c r="L32" s="39"/>
      <c r="M32" s="39"/>
      <c r="N32" s="39"/>
      <c r="O32" s="39" t="s">
        <v>150</v>
      </c>
      <c r="P32" s="39"/>
      <c r="Q32" s="39"/>
      <c r="R32" s="39"/>
      <c r="S32" s="38">
        <v>0</v>
      </c>
      <c r="T32" s="38" t="str">
        <f>"0,0000"</f>
        <v>0,0000</v>
      </c>
      <c r="U32" s="38" t="s">
        <v>54</v>
      </c>
    </row>
    <row r="34" spans="1:20" ht="15">
      <c r="A34" s="61" t="s">
        <v>145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1" ht="12.75">
      <c r="A35" s="34" t="s">
        <v>376</v>
      </c>
      <c r="B35" s="34" t="s">
        <v>377</v>
      </c>
      <c r="C35" s="34" t="s">
        <v>378</v>
      </c>
      <c r="D35" s="34" t="str">
        <f>"0,6026"</f>
        <v>0,6026</v>
      </c>
      <c r="E35" s="34" t="s">
        <v>379</v>
      </c>
      <c r="F35" s="34" t="s">
        <v>380</v>
      </c>
      <c r="G35" s="35" t="s">
        <v>76</v>
      </c>
      <c r="H35" s="35" t="s">
        <v>150</v>
      </c>
      <c r="I35" s="34" t="s">
        <v>93</v>
      </c>
      <c r="J35" s="35"/>
      <c r="K35" s="34" t="s">
        <v>121</v>
      </c>
      <c r="L35" s="34" t="s">
        <v>35</v>
      </c>
      <c r="M35" s="34" t="s">
        <v>381</v>
      </c>
      <c r="N35" s="35"/>
      <c r="O35" s="34" t="s">
        <v>76</v>
      </c>
      <c r="P35" s="34" t="s">
        <v>93</v>
      </c>
      <c r="Q35" s="34" t="s">
        <v>382</v>
      </c>
      <c r="R35" s="35"/>
      <c r="S35" s="34">
        <v>715</v>
      </c>
      <c r="T35" s="34" t="str">
        <f>"430,8590"</f>
        <v>430,8590</v>
      </c>
      <c r="U35" s="34" t="s">
        <v>54</v>
      </c>
    </row>
    <row r="36" spans="1:21" ht="12.75">
      <c r="A36" s="38" t="s">
        <v>384</v>
      </c>
      <c r="B36" s="38" t="s">
        <v>385</v>
      </c>
      <c r="C36" s="38" t="s">
        <v>386</v>
      </c>
      <c r="D36" s="38" t="str">
        <f>"0,5962"</f>
        <v>0,5962</v>
      </c>
      <c r="E36" s="38" t="s">
        <v>373</v>
      </c>
      <c r="F36" s="38" t="s">
        <v>387</v>
      </c>
      <c r="G36" s="38" t="s">
        <v>76</v>
      </c>
      <c r="H36" s="38" t="s">
        <v>150</v>
      </c>
      <c r="I36" s="39" t="s">
        <v>102</v>
      </c>
      <c r="J36" s="39"/>
      <c r="K36" s="38" t="s">
        <v>163</v>
      </c>
      <c r="L36" s="38" t="s">
        <v>21</v>
      </c>
      <c r="M36" s="38" t="s">
        <v>22</v>
      </c>
      <c r="N36" s="39"/>
      <c r="O36" s="38" t="s">
        <v>92</v>
      </c>
      <c r="P36" s="38" t="s">
        <v>93</v>
      </c>
      <c r="Q36" s="39" t="s">
        <v>388</v>
      </c>
      <c r="R36" s="39"/>
      <c r="S36" s="38">
        <v>700</v>
      </c>
      <c r="T36" s="38" t="str">
        <f>"417,3400"</f>
        <v>417,3400</v>
      </c>
      <c r="U36" s="38" t="s">
        <v>54</v>
      </c>
    </row>
    <row r="38" spans="1:20" ht="15">
      <c r="A38" s="61" t="s">
        <v>172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1" ht="12.75">
      <c r="A39" s="34" t="s">
        <v>390</v>
      </c>
      <c r="B39" s="34" t="s">
        <v>391</v>
      </c>
      <c r="C39" s="34" t="s">
        <v>392</v>
      </c>
      <c r="D39" s="34" t="str">
        <f>"0,5878"</f>
        <v>0,5878</v>
      </c>
      <c r="E39" s="34" t="s">
        <v>18</v>
      </c>
      <c r="F39" s="34" t="s">
        <v>19</v>
      </c>
      <c r="G39" s="35" t="s">
        <v>22</v>
      </c>
      <c r="H39" s="34" t="s">
        <v>61</v>
      </c>
      <c r="I39" s="35" t="s">
        <v>62</v>
      </c>
      <c r="J39" s="35"/>
      <c r="K39" s="34" t="s">
        <v>38</v>
      </c>
      <c r="L39" s="34" t="s">
        <v>118</v>
      </c>
      <c r="M39" s="35" t="s">
        <v>27</v>
      </c>
      <c r="N39" s="35"/>
      <c r="O39" s="34" t="s">
        <v>40</v>
      </c>
      <c r="P39" s="34" t="s">
        <v>52</v>
      </c>
      <c r="Q39" s="34" t="s">
        <v>393</v>
      </c>
      <c r="R39" s="35"/>
      <c r="S39" s="34">
        <v>552.5</v>
      </c>
      <c r="T39" s="34" t="str">
        <f>"324,7595"</f>
        <v>324,7595</v>
      </c>
      <c r="U39" s="34" t="s">
        <v>394</v>
      </c>
    </row>
    <row r="40" spans="1:21" ht="12.75">
      <c r="A40" s="38" t="s">
        <v>396</v>
      </c>
      <c r="B40" s="38" t="s">
        <v>397</v>
      </c>
      <c r="C40" s="38" t="s">
        <v>398</v>
      </c>
      <c r="D40" s="38" t="str">
        <f>"0,5717"</f>
        <v>0,5717</v>
      </c>
      <c r="E40" s="38" t="s">
        <v>18</v>
      </c>
      <c r="F40" s="38" t="s">
        <v>19</v>
      </c>
      <c r="G40" s="38" t="s">
        <v>52</v>
      </c>
      <c r="H40" s="38" t="s">
        <v>178</v>
      </c>
      <c r="I40" s="39"/>
      <c r="J40" s="39"/>
      <c r="K40" s="38" t="s">
        <v>39</v>
      </c>
      <c r="L40" s="38" t="s">
        <v>26</v>
      </c>
      <c r="M40" s="39" t="s">
        <v>65</v>
      </c>
      <c r="N40" s="39"/>
      <c r="O40" s="38" t="s">
        <v>150</v>
      </c>
      <c r="P40" s="38" t="s">
        <v>382</v>
      </c>
      <c r="Q40" s="39" t="s">
        <v>75</v>
      </c>
      <c r="R40" s="39"/>
      <c r="S40" s="38">
        <v>647.5</v>
      </c>
      <c r="T40" s="38" t="str">
        <f>"370,1757"</f>
        <v>370,1757</v>
      </c>
      <c r="U40" s="38" t="s">
        <v>54</v>
      </c>
    </row>
    <row r="42" spans="1:20" ht="15">
      <c r="A42" s="61" t="s">
        <v>189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1" ht="12.75">
      <c r="A43" s="32" t="s">
        <v>400</v>
      </c>
      <c r="B43" s="32" t="s">
        <v>401</v>
      </c>
      <c r="C43" s="32" t="s">
        <v>402</v>
      </c>
      <c r="D43" s="32" t="str">
        <f>"0,5600"</f>
        <v>0,5600</v>
      </c>
      <c r="E43" s="32" t="s">
        <v>204</v>
      </c>
      <c r="F43" s="32" t="s">
        <v>403</v>
      </c>
      <c r="G43" s="32" t="s">
        <v>93</v>
      </c>
      <c r="H43" s="33" t="s">
        <v>103</v>
      </c>
      <c r="I43" s="32" t="s">
        <v>103</v>
      </c>
      <c r="J43" s="33"/>
      <c r="K43" s="32" t="s">
        <v>21</v>
      </c>
      <c r="L43" s="32" t="s">
        <v>22</v>
      </c>
      <c r="M43" s="32" t="s">
        <v>36</v>
      </c>
      <c r="N43" s="33"/>
      <c r="O43" s="32" t="s">
        <v>150</v>
      </c>
      <c r="P43" s="32" t="s">
        <v>73</v>
      </c>
      <c r="Q43" s="32" t="s">
        <v>103</v>
      </c>
      <c r="R43" s="33"/>
      <c r="S43" s="32">
        <v>750</v>
      </c>
      <c r="T43" s="32" t="str">
        <f>"420,0000"</f>
        <v>420,0000</v>
      </c>
      <c r="U43" s="32" t="s">
        <v>404</v>
      </c>
    </row>
    <row r="45" ht="15">
      <c r="E45" s="40" t="s">
        <v>218</v>
      </c>
    </row>
    <row r="46" ht="15">
      <c r="E46" s="40" t="s">
        <v>219</v>
      </c>
    </row>
    <row r="47" ht="15">
      <c r="E47" s="40" t="s">
        <v>220</v>
      </c>
    </row>
    <row r="48" ht="15">
      <c r="E48" s="40" t="s">
        <v>221</v>
      </c>
    </row>
    <row r="49" ht="15">
      <c r="E49" s="40" t="s">
        <v>221</v>
      </c>
    </row>
    <row r="50" ht="15">
      <c r="E50" s="40" t="s">
        <v>222</v>
      </c>
    </row>
    <row r="51" ht="15">
      <c r="E51" s="40"/>
    </row>
    <row r="53" spans="1:2" ht="18">
      <c r="A53" s="41" t="s">
        <v>223</v>
      </c>
      <c r="B53" s="41"/>
    </row>
    <row r="54" spans="1:2" ht="15">
      <c r="A54" s="42" t="s">
        <v>224</v>
      </c>
      <c r="B54" s="42"/>
    </row>
    <row r="55" spans="1:2" ht="14.25">
      <c r="A55" s="44" t="s">
        <v>405</v>
      </c>
      <c r="B55" s="45"/>
    </row>
    <row r="56" spans="1:5" ht="15">
      <c r="A56" s="46" t="s">
        <v>226</v>
      </c>
      <c r="B56" s="46" t="s">
        <v>227</v>
      </c>
      <c r="C56" s="46" t="s">
        <v>228</v>
      </c>
      <c r="D56" s="46" t="s">
        <v>229</v>
      </c>
      <c r="E56" s="46" t="s">
        <v>230</v>
      </c>
    </row>
    <row r="57" spans="1:5" ht="12.75">
      <c r="A57" s="43" t="s">
        <v>288</v>
      </c>
      <c r="B57" s="31" t="s">
        <v>405</v>
      </c>
      <c r="C57" s="31" t="s">
        <v>406</v>
      </c>
      <c r="D57" s="31" t="s">
        <v>65</v>
      </c>
      <c r="E57" s="47" t="s">
        <v>407</v>
      </c>
    </row>
    <row r="59" spans="1:2" ht="14.25">
      <c r="A59" s="44" t="s">
        <v>245</v>
      </c>
      <c r="B59" s="45"/>
    </row>
    <row r="60" spans="1:5" ht="15">
      <c r="A60" s="46" t="s">
        <v>226</v>
      </c>
      <c r="B60" s="46" t="s">
        <v>227</v>
      </c>
      <c r="C60" s="46" t="s">
        <v>228</v>
      </c>
      <c r="D60" s="46" t="s">
        <v>229</v>
      </c>
      <c r="E60" s="46" t="s">
        <v>230</v>
      </c>
    </row>
    <row r="61" spans="1:5" ht="12.75">
      <c r="A61" s="43" t="s">
        <v>302</v>
      </c>
      <c r="B61" s="31" t="s">
        <v>245</v>
      </c>
      <c r="C61" s="31" t="s">
        <v>408</v>
      </c>
      <c r="D61" s="31" t="s">
        <v>22</v>
      </c>
      <c r="E61" s="47" t="s">
        <v>409</v>
      </c>
    </row>
    <row r="64" spans="1:2" ht="15">
      <c r="A64" s="42" t="s">
        <v>234</v>
      </c>
      <c r="B64" s="42"/>
    </row>
    <row r="65" spans="1:2" ht="14.25">
      <c r="A65" s="44" t="s">
        <v>235</v>
      </c>
      <c r="B65" s="45"/>
    </row>
    <row r="66" spans="1:5" ht="15">
      <c r="A66" s="46" t="s">
        <v>226</v>
      </c>
      <c r="B66" s="46" t="s">
        <v>227</v>
      </c>
      <c r="C66" s="46" t="s">
        <v>228</v>
      </c>
      <c r="D66" s="46" t="s">
        <v>229</v>
      </c>
      <c r="E66" s="46" t="s">
        <v>230</v>
      </c>
    </row>
    <row r="67" spans="1:5" ht="12.75">
      <c r="A67" s="43" t="s">
        <v>315</v>
      </c>
      <c r="B67" s="31" t="s">
        <v>235</v>
      </c>
      <c r="C67" s="31" t="s">
        <v>239</v>
      </c>
      <c r="D67" s="31" t="s">
        <v>410</v>
      </c>
      <c r="E67" s="47" t="s">
        <v>411</v>
      </c>
    </row>
    <row r="68" spans="1:5" ht="12.75">
      <c r="A68" s="43" t="s">
        <v>347</v>
      </c>
      <c r="B68" s="31" t="s">
        <v>235</v>
      </c>
      <c r="C68" s="31" t="s">
        <v>246</v>
      </c>
      <c r="D68" s="31" t="s">
        <v>412</v>
      </c>
      <c r="E68" s="47" t="s">
        <v>413</v>
      </c>
    </row>
    <row r="69" spans="1:5" ht="12.75">
      <c r="A69" s="43" t="s">
        <v>389</v>
      </c>
      <c r="B69" s="31" t="s">
        <v>235</v>
      </c>
      <c r="C69" s="31" t="s">
        <v>249</v>
      </c>
      <c r="D69" s="31" t="s">
        <v>414</v>
      </c>
      <c r="E69" s="47" t="s">
        <v>415</v>
      </c>
    </row>
    <row r="70" spans="1:5" ht="12.75">
      <c r="A70" s="43" t="s">
        <v>309</v>
      </c>
      <c r="B70" s="31" t="s">
        <v>235</v>
      </c>
      <c r="C70" s="31" t="s">
        <v>408</v>
      </c>
      <c r="D70" s="31" t="s">
        <v>416</v>
      </c>
      <c r="E70" s="47" t="s">
        <v>417</v>
      </c>
    </row>
    <row r="72" spans="1:2" ht="14.25">
      <c r="A72" s="44" t="s">
        <v>245</v>
      </c>
      <c r="B72" s="45"/>
    </row>
    <row r="73" spans="1:5" ht="15">
      <c r="A73" s="46" t="s">
        <v>226</v>
      </c>
      <c r="B73" s="46" t="s">
        <v>227</v>
      </c>
      <c r="C73" s="46" t="s">
        <v>228</v>
      </c>
      <c r="D73" s="46" t="s">
        <v>229</v>
      </c>
      <c r="E73" s="46" t="s">
        <v>230</v>
      </c>
    </row>
    <row r="74" spans="1:5" ht="12.75">
      <c r="A74" s="43" t="s">
        <v>321</v>
      </c>
      <c r="B74" s="31" t="s">
        <v>245</v>
      </c>
      <c r="C74" s="31" t="s">
        <v>239</v>
      </c>
      <c r="D74" s="31" t="s">
        <v>418</v>
      </c>
      <c r="E74" s="47" t="s">
        <v>419</v>
      </c>
    </row>
    <row r="75" spans="1:5" ht="12.75">
      <c r="A75" s="43" t="s">
        <v>357</v>
      </c>
      <c r="B75" s="31" t="s">
        <v>245</v>
      </c>
      <c r="C75" s="31" t="s">
        <v>246</v>
      </c>
      <c r="D75" s="31" t="s">
        <v>420</v>
      </c>
      <c r="E75" s="47" t="s">
        <v>421</v>
      </c>
    </row>
    <row r="77" spans="1:2" ht="14.25">
      <c r="A77" s="44" t="s">
        <v>225</v>
      </c>
      <c r="B77" s="45"/>
    </row>
    <row r="78" spans="1:5" ht="15">
      <c r="A78" s="46" t="s">
        <v>226</v>
      </c>
      <c r="B78" s="46" t="s">
        <v>227</v>
      </c>
      <c r="C78" s="46" t="s">
        <v>228</v>
      </c>
      <c r="D78" s="46" t="s">
        <v>229</v>
      </c>
      <c r="E78" s="46" t="s">
        <v>230</v>
      </c>
    </row>
    <row r="79" spans="1:5" ht="12.75">
      <c r="A79" s="43" t="s">
        <v>375</v>
      </c>
      <c r="B79" s="31" t="s">
        <v>225</v>
      </c>
      <c r="C79" s="31" t="s">
        <v>236</v>
      </c>
      <c r="D79" s="31" t="s">
        <v>422</v>
      </c>
      <c r="E79" s="47" t="s">
        <v>423</v>
      </c>
    </row>
    <row r="80" spans="1:5" ht="12.75">
      <c r="A80" s="43" t="s">
        <v>399</v>
      </c>
      <c r="B80" s="31" t="s">
        <v>225</v>
      </c>
      <c r="C80" s="31" t="s">
        <v>263</v>
      </c>
      <c r="D80" s="31" t="s">
        <v>424</v>
      </c>
      <c r="E80" s="47" t="s">
        <v>425</v>
      </c>
    </row>
    <row r="81" spans="1:5" ht="12.75">
      <c r="A81" s="43" t="s">
        <v>383</v>
      </c>
      <c r="B81" s="31" t="s">
        <v>225</v>
      </c>
      <c r="C81" s="31" t="s">
        <v>236</v>
      </c>
      <c r="D81" s="31" t="s">
        <v>426</v>
      </c>
      <c r="E81" s="47" t="s">
        <v>427</v>
      </c>
    </row>
    <row r="82" spans="1:5" ht="12.75">
      <c r="A82" s="43" t="s">
        <v>333</v>
      </c>
      <c r="B82" s="31" t="s">
        <v>225</v>
      </c>
      <c r="C82" s="31" t="s">
        <v>274</v>
      </c>
      <c r="D82" s="31" t="s">
        <v>428</v>
      </c>
      <c r="E82" s="47" t="s">
        <v>429</v>
      </c>
    </row>
    <row r="83" spans="1:5" ht="12.75">
      <c r="A83" s="43" t="s">
        <v>395</v>
      </c>
      <c r="B83" s="31" t="s">
        <v>225</v>
      </c>
      <c r="C83" s="31" t="s">
        <v>249</v>
      </c>
      <c r="D83" s="31" t="s">
        <v>430</v>
      </c>
      <c r="E83" s="47" t="s">
        <v>431</v>
      </c>
    </row>
    <row r="84" spans="1:5" ht="12.75">
      <c r="A84" s="43" t="s">
        <v>339</v>
      </c>
      <c r="B84" s="31" t="s">
        <v>225</v>
      </c>
      <c r="C84" s="31" t="s">
        <v>274</v>
      </c>
      <c r="D84" s="31" t="s">
        <v>432</v>
      </c>
      <c r="E84" s="47" t="s">
        <v>433</v>
      </c>
    </row>
    <row r="85" spans="1:5" ht="12.75">
      <c r="A85" s="43" t="s">
        <v>364</v>
      </c>
      <c r="B85" s="31" t="s">
        <v>225</v>
      </c>
      <c r="C85" s="31" t="s">
        <v>246</v>
      </c>
      <c r="D85" s="31" t="s">
        <v>277</v>
      </c>
      <c r="E85" s="47" t="s">
        <v>434</v>
      </c>
    </row>
    <row r="86" spans="1:5" ht="12.75">
      <c r="A86" s="43" t="s">
        <v>344</v>
      </c>
      <c r="B86" s="31" t="s">
        <v>225</v>
      </c>
      <c r="C86" s="31" t="s">
        <v>274</v>
      </c>
      <c r="D86" s="31" t="s">
        <v>435</v>
      </c>
      <c r="E86" s="47" t="s">
        <v>436</v>
      </c>
    </row>
    <row r="87" spans="1:5" ht="12.75">
      <c r="A87" s="43" t="s">
        <v>327</v>
      </c>
      <c r="B87" s="31" t="s">
        <v>225</v>
      </c>
      <c r="C87" s="31" t="s">
        <v>239</v>
      </c>
      <c r="D87" s="31" t="s">
        <v>437</v>
      </c>
      <c r="E87" s="47" t="s">
        <v>438</v>
      </c>
    </row>
    <row r="92" spans="1:2" ht="18">
      <c r="A92" s="41" t="s">
        <v>283</v>
      </c>
      <c r="B92" s="41"/>
    </row>
    <row r="93" spans="1:3" ht="15">
      <c r="A93" s="46" t="s">
        <v>284</v>
      </c>
      <c r="B93" s="46" t="s">
        <v>285</v>
      </c>
      <c r="C93" s="46" t="s">
        <v>286</v>
      </c>
    </row>
  </sheetData>
  <sheetProtection/>
  <mergeCells count="23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42:T42"/>
    <mergeCell ref="A14:T14"/>
    <mergeCell ref="A19:T19"/>
    <mergeCell ref="A24:T24"/>
    <mergeCell ref="A30:T30"/>
    <mergeCell ref="A34:T34"/>
    <mergeCell ref="A38:T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4.625" style="4" bestFit="1" customWidth="1"/>
    <col min="2" max="2" width="25.00390625" style="1" bestFit="1" customWidth="1"/>
    <col min="3" max="3" width="12.25390625" style="1" bestFit="1" customWidth="1"/>
    <col min="4" max="4" width="8.375" style="1" bestFit="1" customWidth="1"/>
    <col min="5" max="5" width="22.75390625" style="5" bestFit="1" customWidth="1"/>
    <col min="6" max="6" width="33.375" style="5" bestFit="1" customWidth="1"/>
    <col min="7" max="9" width="5.625" style="1" bestFit="1" customWidth="1"/>
    <col min="10" max="10" width="4.625" style="1" bestFit="1" customWidth="1"/>
    <col min="11" max="13" width="5.625" style="1" bestFit="1" customWidth="1"/>
    <col min="14" max="14" width="4.625" style="1" bestFit="1" customWidth="1"/>
    <col min="15" max="17" width="5.625" style="1" bestFit="1" customWidth="1"/>
    <col min="18" max="18" width="4.625" style="1" bestFit="1" customWidth="1"/>
    <col min="19" max="19" width="7.875" style="4" bestFit="1" customWidth="1"/>
    <col min="20" max="20" width="8.625" style="1" bestFit="1" customWidth="1"/>
    <col min="21" max="21" width="28.625" style="5" bestFit="1" customWidth="1"/>
    <col min="22" max="16384" width="9.125" style="1" customWidth="1"/>
  </cols>
  <sheetData>
    <row r="1" spans="1:21" ht="15" customHeight="1">
      <c r="A1" s="52" t="s">
        <v>1040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81.7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2" customFormat="1" ht="12.75" customHeight="1">
      <c r="A3" s="58" t="s">
        <v>0</v>
      </c>
      <c r="B3" s="60" t="s">
        <v>11</v>
      </c>
      <c r="C3" s="48" t="s">
        <v>5</v>
      </c>
      <c r="D3" s="48" t="s">
        <v>12</v>
      </c>
      <c r="E3" s="48" t="s">
        <v>8</v>
      </c>
      <c r="F3" s="48" t="s">
        <v>10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48" t="s">
        <v>4</v>
      </c>
      <c r="T3" s="48" t="s">
        <v>7</v>
      </c>
      <c r="U3" s="50" t="s">
        <v>6</v>
      </c>
    </row>
    <row r="4" spans="1:21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9"/>
      <c r="T4" s="49"/>
      <c r="U4" s="51"/>
    </row>
    <row r="5" spans="1:20" ht="15">
      <c r="A5" s="64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 ht="12.75">
      <c r="A6" s="6" t="s">
        <v>15</v>
      </c>
      <c r="B6" s="7" t="s">
        <v>16</v>
      </c>
      <c r="C6" s="7" t="s">
        <v>17</v>
      </c>
      <c r="D6" s="7" t="str">
        <f>"0,8167"</f>
        <v>0,8167</v>
      </c>
      <c r="E6" s="8" t="s">
        <v>18</v>
      </c>
      <c r="F6" s="8" t="s">
        <v>19</v>
      </c>
      <c r="G6" s="7" t="s">
        <v>20</v>
      </c>
      <c r="H6" s="7" t="s">
        <v>21</v>
      </c>
      <c r="I6" s="9" t="s">
        <v>22</v>
      </c>
      <c r="J6" s="9"/>
      <c r="K6" s="7" t="s">
        <v>23</v>
      </c>
      <c r="L6" s="7" t="s">
        <v>24</v>
      </c>
      <c r="M6" s="7" t="s">
        <v>25</v>
      </c>
      <c r="N6" s="9"/>
      <c r="O6" s="7" t="s">
        <v>26</v>
      </c>
      <c r="P6" s="9" t="s">
        <v>27</v>
      </c>
      <c r="Q6" s="7" t="s">
        <v>27</v>
      </c>
      <c r="R6" s="9"/>
      <c r="S6" s="6" t="s">
        <v>28</v>
      </c>
      <c r="T6" s="7" t="str">
        <f>"312,3877"</f>
        <v>312,3877</v>
      </c>
      <c r="U6" s="8" t="s">
        <v>29</v>
      </c>
    </row>
    <row r="8" spans="1:20" ht="15">
      <c r="A8" s="63" t="s">
        <v>30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 ht="12.75">
      <c r="A9" s="6" t="s">
        <v>32</v>
      </c>
      <c r="B9" s="7" t="s">
        <v>33</v>
      </c>
      <c r="C9" s="7" t="s">
        <v>34</v>
      </c>
      <c r="D9" s="7" t="str">
        <f>"0,7179"</f>
        <v>0,7179</v>
      </c>
      <c r="E9" s="8" t="s">
        <v>18</v>
      </c>
      <c r="F9" s="8" t="s">
        <v>19</v>
      </c>
      <c r="G9" s="7" t="s">
        <v>35</v>
      </c>
      <c r="H9" s="9" t="s">
        <v>36</v>
      </c>
      <c r="I9" s="9" t="s">
        <v>37</v>
      </c>
      <c r="J9" s="9"/>
      <c r="K9" s="9" t="s">
        <v>38</v>
      </c>
      <c r="L9" s="7" t="s">
        <v>38</v>
      </c>
      <c r="M9" s="7" t="s">
        <v>39</v>
      </c>
      <c r="N9" s="9"/>
      <c r="O9" s="7" t="s">
        <v>40</v>
      </c>
      <c r="P9" s="7" t="s">
        <v>41</v>
      </c>
      <c r="Q9" s="9" t="s">
        <v>42</v>
      </c>
      <c r="R9" s="9"/>
      <c r="S9" s="6" t="s">
        <v>43</v>
      </c>
      <c r="T9" s="7" t="str">
        <f>"362,5395"</f>
        <v>362,5395</v>
      </c>
      <c r="U9" s="8" t="s">
        <v>44</v>
      </c>
    </row>
    <row r="11" spans="1:20" ht="15">
      <c r="A11" s="63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1" ht="12.75">
      <c r="A12" s="10" t="s">
        <v>47</v>
      </c>
      <c r="B12" s="11" t="s">
        <v>48</v>
      </c>
      <c r="C12" s="11" t="s">
        <v>49</v>
      </c>
      <c r="D12" s="11" t="str">
        <f>"0,6719"</f>
        <v>0,6719</v>
      </c>
      <c r="E12" s="12" t="s">
        <v>18</v>
      </c>
      <c r="F12" s="12" t="s">
        <v>18</v>
      </c>
      <c r="G12" s="11" t="s">
        <v>40</v>
      </c>
      <c r="H12" s="11" t="s">
        <v>41</v>
      </c>
      <c r="I12" s="11" t="s">
        <v>50</v>
      </c>
      <c r="J12" s="13"/>
      <c r="K12" s="11" t="s">
        <v>26</v>
      </c>
      <c r="L12" s="13" t="s">
        <v>51</v>
      </c>
      <c r="M12" s="13" t="s">
        <v>51</v>
      </c>
      <c r="N12" s="13"/>
      <c r="O12" s="11" t="s">
        <v>40</v>
      </c>
      <c r="P12" s="11" t="s">
        <v>41</v>
      </c>
      <c r="Q12" s="11" t="s">
        <v>52</v>
      </c>
      <c r="R12" s="13"/>
      <c r="S12" s="10" t="s">
        <v>53</v>
      </c>
      <c r="T12" s="11" t="str">
        <f>"384,6627"</f>
        <v>384,6627</v>
      </c>
      <c r="U12" s="12" t="s">
        <v>54</v>
      </c>
    </row>
    <row r="13" spans="1:21" ht="12.75">
      <c r="A13" s="14" t="s">
        <v>56</v>
      </c>
      <c r="B13" s="15" t="s">
        <v>57</v>
      </c>
      <c r="C13" s="15" t="s">
        <v>58</v>
      </c>
      <c r="D13" s="15" t="str">
        <f>"0,6759"</f>
        <v>0,6759</v>
      </c>
      <c r="E13" s="16" t="s">
        <v>59</v>
      </c>
      <c r="F13" s="16" t="s">
        <v>60</v>
      </c>
      <c r="G13" s="15" t="s">
        <v>61</v>
      </c>
      <c r="H13" s="15" t="s">
        <v>62</v>
      </c>
      <c r="I13" s="17" t="s">
        <v>63</v>
      </c>
      <c r="J13" s="17"/>
      <c r="K13" s="15" t="s">
        <v>64</v>
      </c>
      <c r="L13" s="17" t="s">
        <v>65</v>
      </c>
      <c r="M13" s="15" t="s">
        <v>65</v>
      </c>
      <c r="N13" s="17"/>
      <c r="O13" s="15" t="s">
        <v>61</v>
      </c>
      <c r="P13" s="15" t="s">
        <v>62</v>
      </c>
      <c r="Q13" s="17" t="s">
        <v>40</v>
      </c>
      <c r="R13" s="17"/>
      <c r="S13" s="14" t="s">
        <v>66</v>
      </c>
      <c r="T13" s="15" t="str">
        <f>"366,6757"</f>
        <v>366,6757</v>
      </c>
      <c r="U13" s="16" t="s">
        <v>67</v>
      </c>
    </row>
    <row r="15" spans="1:20" ht="15">
      <c r="A15" s="63" t="s">
        <v>68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12.75">
      <c r="A16" s="10" t="s">
        <v>70</v>
      </c>
      <c r="B16" s="11" t="s">
        <v>71</v>
      </c>
      <c r="C16" s="11" t="s">
        <v>72</v>
      </c>
      <c r="D16" s="11" t="str">
        <f>"0,6421"</f>
        <v>0,6421</v>
      </c>
      <c r="E16" s="12" t="s">
        <v>59</v>
      </c>
      <c r="F16" s="12" t="s">
        <v>60</v>
      </c>
      <c r="G16" s="13" t="s">
        <v>73</v>
      </c>
      <c r="H16" s="11" t="s">
        <v>74</v>
      </c>
      <c r="I16" s="13" t="s">
        <v>75</v>
      </c>
      <c r="J16" s="13"/>
      <c r="K16" s="11" t="s">
        <v>21</v>
      </c>
      <c r="L16" s="13" t="s">
        <v>22</v>
      </c>
      <c r="M16" s="13" t="s">
        <v>22</v>
      </c>
      <c r="N16" s="13"/>
      <c r="O16" s="11" t="s">
        <v>76</v>
      </c>
      <c r="P16" s="11" t="s">
        <v>77</v>
      </c>
      <c r="Q16" s="13" t="s">
        <v>78</v>
      </c>
      <c r="R16" s="13"/>
      <c r="S16" s="10" t="s">
        <v>79</v>
      </c>
      <c r="T16" s="11" t="str">
        <f>"457,4962"</f>
        <v>457,4962</v>
      </c>
      <c r="U16" s="12" t="s">
        <v>80</v>
      </c>
    </row>
    <row r="17" spans="1:21" ht="12.75">
      <c r="A17" s="18" t="s">
        <v>82</v>
      </c>
      <c r="B17" s="19" t="s">
        <v>83</v>
      </c>
      <c r="C17" s="19" t="s">
        <v>84</v>
      </c>
      <c r="D17" s="19" t="str">
        <f>"0,6417"</f>
        <v>0,6417</v>
      </c>
      <c r="E17" s="20" t="s">
        <v>18</v>
      </c>
      <c r="F17" s="20" t="s">
        <v>18</v>
      </c>
      <c r="G17" s="19" t="s">
        <v>36</v>
      </c>
      <c r="H17" s="19" t="s">
        <v>40</v>
      </c>
      <c r="I17" s="21" t="s">
        <v>41</v>
      </c>
      <c r="J17" s="21"/>
      <c r="K17" s="19" t="s">
        <v>85</v>
      </c>
      <c r="L17" s="19" t="s">
        <v>27</v>
      </c>
      <c r="M17" s="19" t="s">
        <v>64</v>
      </c>
      <c r="N17" s="21"/>
      <c r="O17" s="19" t="s">
        <v>36</v>
      </c>
      <c r="P17" s="19" t="s">
        <v>86</v>
      </c>
      <c r="Q17" s="21" t="s">
        <v>52</v>
      </c>
      <c r="R17" s="21"/>
      <c r="S17" s="18" t="s">
        <v>87</v>
      </c>
      <c r="T17" s="19" t="str">
        <f>"352,9350"</f>
        <v>352,9350</v>
      </c>
      <c r="U17" s="20" t="s">
        <v>54</v>
      </c>
    </row>
    <row r="18" spans="1:21" ht="12.75">
      <c r="A18" s="18" t="s">
        <v>89</v>
      </c>
      <c r="B18" s="19" t="s">
        <v>90</v>
      </c>
      <c r="C18" s="19" t="s">
        <v>91</v>
      </c>
      <c r="D18" s="19" t="str">
        <f>"0,6432"</f>
        <v>0,6432</v>
      </c>
      <c r="E18" s="20" t="s">
        <v>18</v>
      </c>
      <c r="F18" s="20" t="s">
        <v>18</v>
      </c>
      <c r="G18" s="19" t="s">
        <v>92</v>
      </c>
      <c r="H18" s="19" t="s">
        <v>93</v>
      </c>
      <c r="I18" s="19" t="s">
        <v>73</v>
      </c>
      <c r="J18" s="21"/>
      <c r="K18" s="19" t="s">
        <v>37</v>
      </c>
      <c r="L18" s="19" t="s">
        <v>94</v>
      </c>
      <c r="M18" s="19" t="s">
        <v>40</v>
      </c>
      <c r="N18" s="21"/>
      <c r="O18" s="19" t="s">
        <v>74</v>
      </c>
      <c r="P18" s="19" t="s">
        <v>75</v>
      </c>
      <c r="Q18" s="21" t="s">
        <v>95</v>
      </c>
      <c r="R18" s="21"/>
      <c r="S18" s="18" t="s">
        <v>96</v>
      </c>
      <c r="T18" s="19" t="str">
        <f>"492,0480"</f>
        <v>492,0480</v>
      </c>
      <c r="U18" s="20" t="s">
        <v>54</v>
      </c>
    </row>
    <row r="19" spans="1:21" ht="12.75">
      <c r="A19" s="18" t="s">
        <v>98</v>
      </c>
      <c r="B19" s="19" t="s">
        <v>99</v>
      </c>
      <c r="C19" s="19" t="s">
        <v>91</v>
      </c>
      <c r="D19" s="19" t="str">
        <f>"0,6432"</f>
        <v>0,6432</v>
      </c>
      <c r="E19" s="20" t="s">
        <v>100</v>
      </c>
      <c r="F19" s="20" t="s">
        <v>101</v>
      </c>
      <c r="G19" s="21" t="s">
        <v>102</v>
      </c>
      <c r="H19" s="19" t="s">
        <v>102</v>
      </c>
      <c r="I19" s="21" t="s">
        <v>103</v>
      </c>
      <c r="J19" s="21"/>
      <c r="K19" s="19" t="s">
        <v>35</v>
      </c>
      <c r="L19" s="19" t="s">
        <v>37</v>
      </c>
      <c r="M19" s="21" t="s">
        <v>94</v>
      </c>
      <c r="N19" s="21"/>
      <c r="O19" s="19" t="s">
        <v>76</v>
      </c>
      <c r="P19" s="19" t="s">
        <v>102</v>
      </c>
      <c r="Q19" s="21" t="s">
        <v>104</v>
      </c>
      <c r="R19" s="21"/>
      <c r="S19" s="18" t="s">
        <v>105</v>
      </c>
      <c r="T19" s="19" t="str">
        <f>"469,5360"</f>
        <v>469,5360</v>
      </c>
      <c r="U19" s="20" t="s">
        <v>54</v>
      </c>
    </row>
    <row r="20" spans="1:21" ht="12.75">
      <c r="A20" s="18" t="s">
        <v>69</v>
      </c>
      <c r="B20" s="19" t="s">
        <v>106</v>
      </c>
      <c r="C20" s="19" t="s">
        <v>72</v>
      </c>
      <c r="D20" s="19" t="str">
        <f>"0,6421"</f>
        <v>0,6421</v>
      </c>
      <c r="E20" s="20" t="s">
        <v>59</v>
      </c>
      <c r="F20" s="20" t="s">
        <v>60</v>
      </c>
      <c r="G20" s="21" t="s">
        <v>73</v>
      </c>
      <c r="H20" s="19" t="s">
        <v>74</v>
      </c>
      <c r="I20" s="21" t="s">
        <v>75</v>
      </c>
      <c r="J20" s="21"/>
      <c r="K20" s="19" t="s">
        <v>21</v>
      </c>
      <c r="L20" s="21" t="s">
        <v>22</v>
      </c>
      <c r="M20" s="21" t="s">
        <v>22</v>
      </c>
      <c r="N20" s="21"/>
      <c r="O20" s="19" t="s">
        <v>76</v>
      </c>
      <c r="P20" s="19" t="s">
        <v>77</v>
      </c>
      <c r="Q20" s="21" t="s">
        <v>78</v>
      </c>
      <c r="R20" s="21"/>
      <c r="S20" s="18" t="s">
        <v>79</v>
      </c>
      <c r="T20" s="19" t="str">
        <f>"457,4962"</f>
        <v>457,4962</v>
      </c>
      <c r="U20" s="20" t="s">
        <v>80</v>
      </c>
    </row>
    <row r="21" spans="1:21" ht="12.75">
      <c r="A21" s="14" t="s">
        <v>107</v>
      </c>
      <c r="B21" s="15" t="s">
        <v>108</v>
      </c>
      <c r="C21" s="15" t="s">
        <v>109</v>
      </c>
      <c r="D21" s="15" t="str">
        <f>"0,6447"</f>
        <v>0,6447</v>
      </c>
      <c r="E21" s="16" t="s">
        <v>110</v>
      </c>
      <c r="F21" s="16" t="s">
        <v>111</v>
      </c>
      <c r="G21" s="17" t="s">
        <v>74</v>
      </c>
      <c r="H21" s="17" t="s">
        <v>74</v>
      </c>
      <c r="I21" s="17" t="s">
        <v>74</v>
      </c>
      <c r="J21" s="17"/>
      <c r="K21" s="17"/>
      <c r="L21" s="17"/>
      <c r="M21" s="17"/>
      <c r="N21" s="17"/>
      <c r="O21" s="17"/>
      <c r="P21" s="17"/>
      <c r="Q21" s="17"/>
      <c r="R21" s="17"/>
      <c r="S21" s="14" t="s">
        <v>112</v>
      </c>
      <c r="T21" s="15" t="str">
        <f>"0,0000"</f>
        <v>0,0000</v>
      </c>
      <c r="U21" s="16" t="s">
        <v>29</v>
      </c>
    </row>
    <row r="23" spans="1:20" ht="15">
      <c r="A23" s="63" t="s">
        <v>113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1" ht="12.75">
      <c r="A24" s="10" t="s">
        <v>114</v>
      </c>
      <c r="B24" s="11" t="s">
        <v>115</v>
      </c>
      <c r="C24" s="11" t="s">
        <v>116</v>
      </c>
      <c r="D24" s="11" t="str">
        <f>"0,6377"</f>
        <v>0,6377</v>
      </c>
      <c r="E24" s="12" t="s">
        <v>18</v>
      </c>
      <c r="F24" s="12" t="s">
        <v>18</v>
      </c>
      <c r="G24" s="11" t="s">
        <v>117</v>
      </c>
      <c r="H24" s="13" t="s">
        <v>39</v>
      </c>
      <c r="I24" s="11" t="s">
        <v>118</v>
      </c>
      <c r="J24" s="13"/>
      <c r="K24" s="11" t="s">
        <v>117</v>
      </c>
      <c r="L24" s="11" t="s">
        <v>119</v>
      </c>
      <c r="M24" s="13" t="s">
        <v>120</v>
      </c>
      <c r="N24" s="13"/>
      <c r="O24" s="11" t="s">
        <v>121</v>
      </c>
      <c r="P24" s="13" t="s">
        <v>22</v>
      </c>
      <c r="Q24" s="13" t="s">
        <v>22</v>
      </c>
      <c r="R24" s="13"/>
      <c r="S24" s="10" t="s">
        <v>122</v>
      </c>
      <c r="T24" s="11" t="str">
        <f>"253,4858"</f>
        <v>253,4858</v>
      </c>
      <c r="U24" s="12" t="s">
        <v>54</v>
      </c>
    </row>
    <row r="25" spans="1:21" ht="12.75">
      <c r="A25" s="18" t="s">
        <v>124</v>
      </c>
      <c r="B25" s="19" t="s">
        <v>125</v>
      </c>
      <c r="C25" s="19" t="s">
        <v>126</v>
      </c>
      <c r="D25" s="19" t="str">
        <f>"0,6136"</f>
        <v>0,6136</v>
      </c>
      <c r="E25" s="20" t="s">
        <v>127</v>
      </c>
      <c r="F25" s="20" t="s">
        <v>128</v>
      </c>
      <c r="G25" s="21" t="s">
        <v>74</v>
      </c>
      <c r="H25" s="19" t="s">
        <v>103</v>
      </c>
      <c r="I25" s="19" t="s">
        <v>104</v>
      </c>
      <c r="J25" s="21"/>
      <c r="K25" s="19" t="s">
        <v>35</v>
      </c>
      <c r="L25" s="19" t="s">
        <v>36</v>
      </c>
      <c r="M25" s="19" t="s">
        <v>129</v>
      </c>
      <c r="N25" s="21"/>
      <c r="O25" s="19" t="s">
        <v>74</v>
      </c>
      <c r="P25" s="19" t="s">
        <v>95</v>
      </c>
      <c r="Q25" s="19" t="s">
        <v>130</v>
      </c>
      <c r="R25" s="21"/>
      <c r="S25" s="18" t="s">
        <v>131</v>
      </c>
      <c r="T25" s="19" t="str">
        <f>"490,8800"</f>
        <v>490,8800</v>
      </c>
      <c r="U25" s="20" t="s">
        <v>132</v>
      </c>
    </row>
    <row r="26" spans="1:21" ht="12.75">
      <c r="A26" s="14" t="s">
        <v>134</v>
      </c>
      <c r="B26" s="15" t="s">
        <v>135</v>
      </c>
      <c r="C26" s="15" t="s">
        <v>136</v>
      </c>
      <c r="D26" s="15" t="str">
        <f>"0,6131"</f>
        <v>0,6131</v>
      </c>
      <c r="E26" s="16" t="s">
        <v>18</v>
      </c>
      <c r="F26" s="16" t="s">
        <v>18</v>
      </c>
      <c r="G26" s="15" t="s">
        <v>137</v>
      </c>
      <c r="H26" s="15" t="s">
        <v>138</v>
      </c>
      <c r="I26" s="17" t="s">
        <v>92</v>
      </c>
      <c r="J26" s="17"/>
      <c r="K26" s="17" t="s">
        <v>20</v>
      </c>
      <c r="L26" s="15" t="s">
        <v>139</v>
      </c>
      <c r="M26" s="15" t="s">
        <v>140</v>
      </c>
      <c r="N26" s="17"/>
      <c r="O26" s="15" t="s">
        <v>141</v>
      </c>
      <c r="P26" s="15" t="s">
        <v>138</v>
      </c>
      <c r="Q26" s="17" t="s">
        <v>142</v>
      </c>
      <c r="R26" s="17"/>
      <c r="S26" s="14" t="s">
        <v>143</v>
      </c>
      <c r="T26" s="15" t="str">
        <f>"400,0477"</f>
        <v>400,0477</v>
      </c>
      <c r="U26" s="16" t="s">
        <v>144</v>
      </c>
    </row>
    <row r="28" spans="1:20" ht="15">
      <c r="A28" s="63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1" ht="12.75">
      <c r="A29" s="10" t="s">
        <v>147</v>
      </c>
      <c r="B29" s="11" t="s">
        <v>148</v>
      </c>
      <c r="C29" s="11" t="s">
        <v>149</v>
      </c>
      <c r="D29" s="11" t="str">
        <f>"0,5903"</f>
        <v>0,5903</v>
      </c>
      <c r="E29" s="12" t="s">
        <v>18</v>
      </c>
      <c r="F29" s="12" t="s">
        <v>18</v>
      </c>
      <c r="G29" s="13" t="s">
        <v>52</v>
      </c>
      <c r="H29" s="11" t="s">
        <v>137</v>
      </c>
      <c r="I29" s="13" t="s">
        <v>138</v>
      </c>
      <c r="J29" s="13"/>
      <c r="K29" s="11" t="s">
        <v>121</v>
      </c>
      <c r="L29" s="11" t="s">
        <v>21</v>
      </c>
      <c r="M29" s="13" t="s">
        <v>35</v>
      </c>
      <c r="N29" s="13"/>
      <c r="O29" s="11" t="s">
        <v>138</v>
      </c>
      <c r="P29" s="11" t="s">
        <v>150</v>
      </c>
      <c r="Q29" s="11" t="s">
        <v>102</v>
      </c>
      <c r="R29" s="13"/>
      <c r="S29" s="10" t="s">
        <v>151</v>
      </c>
      <c r="T29" s="11" t="str">
        <f>"392,5495"</f>
        <v>392,5495</v>
      </c>
      <c r="U29" s="12" t="s">
        <v>54</v>
      </c>
    </row>
    <row r="30" spans="1:21" ht="12.75">
      <c r="A30" s="18" t="s">
        <v>153</v>
      </c>
      <c r="B30" s="19" t="s">
        <v>154</v>
      </c>
      <c r="C30" s="19" t="s">
        <v>155</v>
      </c>
      <c r="D30" s="19" t="str">
        <f>"0,5937"</f>
        <v>0,5937</v>
      </c>
      <c r="E30" s="20" t="s">
        <v>110</v>
      </c>
      <c r="F30" s="20" t="s">
        <v>156</v>
      </c>
      <c r="G30" s="19" t="s">
        <v>74</v>
      </c>
      <c r="H30" s="21" t="s">
        <v>75</v>
      </c>
      <c r="I30" s="19" t="s">
        <v>157</v>
      </c>
      <c r="J30" s="21"/>
      <c r="K30" s="19" t="s">
        <v>21</v>
      </c>
      <c r="L30" s="19" t="s">
        <v>22</v>
      </c>
      <c r="M30" s="21" t="s">
        <v>36</v>
      </c>
      <c r="N30" s="21"/>
      <c r="O30" s="19" t="s">
        <v>102</v>
      </c>
      <c r="P30" s="19" t="s">
        <v>103</v>
      </c>
      <c r="Q30" s="21" t="s">
        <v>75</v>
      </c>
      <c r="R30" s="21"/>
      <c r="S30" s="18" t="s">
        <v>158</v>
      </c>
      <c r="T30" s="19" t="str">
        <f>"451,2120"</f>
        <v>451,2120</v>
      </c>
      <c r="U30" s="20" t="s">
        <v>29</v>
      </c>
    </row>
    <row r="31" spans="1:21" ht="12.75">
      <c r="A31" s="18" t="s">
        <v>160</v>
      </c>
      <c r="B31" s="19" t="s">
        <v>161</v>
      </c>
      <c r="C31" s="19" t="s">
        <v>162</v>
      </c>
      <c r="D31" s="19" t="str">
        <f>"0,6053"</f>
        <v>0,6053</v>
      </c>
      <c r="E31" s="20" t="s">
        <v>59</v>
      </c>
      <c r="F31" s="20" t="s">
        <v>60</v>
      </c>
      <c r="G31" s="21" t="s">
        <v>76</v>
      </c>
      <c r="H31" s="19" t="s">
        <v>150</v>
      </c>
      <c r="I31" s="19" t="s">
        <v>102</v>
      </c>
      <c r="J31" s="21"/>
      <c r="K31" s="19" t="s">
        <v>64</v>
      </c>
      <c r="L31" s="21" t="s">
        <v>163</v>
      </c>
      <c r="M31" s="21" t="s">
        <v>163</v>
      </c>
      <c r="N31" s="21"/>
      <c r="O31" s="19" t="s">
        <v>93</v>
      </c>
      <c r="P31" s="19" t="s">
        <v>73</v>
      </c>
      <c r="Q31" s="21" t="s">
        <v>103</v>
      </c>
      <c r="R31" s="21"/>
      <c r="S31" s="18" t="s">
        <v>164</v>
      </c>
      <c r="T31" s="19" t="str">
        <f>"417,6570"</f>
        <v>417,6570</v>
      </c>
      <c r="U31" s="20" t="s">
        <v>165</v>
      </c>
    </row>
    <row r="32" spans="1:21" ht="12.75">
      <c r="A32" s="14" t="s">
        <v>167</v>
      </c>
      <c r="B32" s="15" t="s">
        <v>168</v>
      </c>
      <c r="C32" s="15" t="s">
        <v>169</v>
      </c>
      <c r="D32" s="15" t="str">
        <f>"0,5941"</f>
        <v>0,5941</v>
      </c>
      <c r="E32" s="16" t="s">
        <v>18</v>
      </c>
      <c r="F32" s="16" t="s">
        <v>18</v>
      </c>
      <c r="G32" s="15" t="s">
        <v>40</v>
      </c>
      <c r="H32" s="15" t="s">
        <v>41</v>
      </c>
      <c r="I32" s="17" t="s">
        <v>52</v>
      </c>
      <c r="J32" s="17"/>
      <c r="K32" s="15" t="s">
        <v>27</v>
      </c>
      <c r="L32" s="17" t="s">
        <v>20</v>
      </c>
      <c r="M32" s="15" t="s">
        <v>20</v>
      </c>
      <c r="N32" s="17"/>
      <c r="O32" s="15" t="s">
        <v>40</v>
      </c>
      <c r="P32" s="15" t="s">
        <v>41</v>
      </c>
      <c r="Q32" s="15" t="s">
        <v>52</v>
      </c>
      <c r="R32" s="17"/>
      <c r="S32" s="14" t="s">
        <v>170</v>
      </c>
      <c r="T32" s="15" t="str">
        <f>"344,5780"</f>
        <v>344,5780</v>
      </c>
      <c r="U32" s="16" t="s">
        <v>171</v>
      </c>
    </row>
    <row r="34" spans="1:20" ht="15">
      <c r="A34" s="63" t="s">
        <v>172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1" ht="12.75">
      <c r="A35" s="10" t="s">
        <v>174</v>
      </c>
      <c r="B35" s="11" t="s">
        <v>175</v>
      </c>
      <c r="C35" s="11" t="s">
        <v>176</v>
      </c>
      <c r="D35" s="11" t="str">
        <f>"0,5786"</f>
        <v>0,5786</v>
      </c>
      <c r="E35" s="12" t="s">
        <v>59</v>
      </c>
      <c r="F35" s="12" t="s">
        <v>177</v>
      </c>
      <c r="G35" s="11" t="s">
        <v>178</v>
      </c>
      <c r="H35" s="13" t="s">
        <v>150</v>
      </c>
      <c r="I35" s="11" t="s">
        <v>102</v>
      </c>
      <c r="J35" s="13"/>
      <c r="K35" s="11" t="s">
        <v>35</v>
      </c>
      <c r="L35" s="11" t="s">
        <v>179</v>
      </c>
      <c r="M35" s="13"/>
      <c r="N35" s="13"/>
      <c r="O35" s="11" t="s">
        <v>74</v>
      </c>
      <c r="P35" s="11" t="s">
        <v>180</v>
      </c>
      <c r="Q35" s="13" t="s">
        <v>181</v>
      </c>
      <c r="R35" s="13"/>
      <c r="S35" s="10" t="s">
        <v>182</v>
      </c>
      <c r="T35" s="11" t="str">
        <f>"446,9685"</f>
        <v>446,9685</v>
      </c>
      <c r="U35" s="12" t="s">
        <v>54</v>
      </c>
    </row>
    <row r="36" spans="1:21" ht="12.75">
      <c r="A36" s="14" t="s">
        <v>184</v>
      </c>
      <c r="B36" s="15" t="s">
        <v>185</v>
      </c>
      <c r="C36" s="15" t="s">
        <v>186</v>
      </c>
      <c r="D36" s="15" t="str">
        <f>"0,5864"</f>
        <v>0,5864</v>
      </c>
      <c r="E36" s="16" t="s">
        <v>187</v>
      </c>
      <c r="F36" s="16" t="s">
        <v>187</v>
      </c>
      <c r="G36" s="17" t="s">
        <v>178</v>
      </c>
      <c r="H36" s="15" t="s">
        <v>178</v>
      </c>
      <c r="I36" s="17" t="s">
        <v>76</v>
      </c>
      <c r="J36" s="17"/>
      <c r="K36" s="15" t="s">
        <v>20</v>
      </c>
      <c r="L36" s="17" t="s">
        <v>121</v>
      </c>
      <c r="M36" s="15" t="s">
        <v>21</v>
      </c>
      <c r="N36" s="17"/>
      <c r="O36" s="15" t="s">
        <v>52</v>
      </c>
      <c r="P36" s="15" t="s">
        <v>137</v>
      </c>
      <c r="Q36" s="17" t="s">
        <v>178</v>
      </c>
      <c r="R36" s="17"/>
      <c r="S36" s="14" t="s">
        <v>188</v>
      </c>
      <c r="T36" s="15" t="str">
        <f>"372,3640"</f>
        <v>372,3640</v>
      </c>
      <c r="U36" s="16" t="s">
        <v>54</v>
      </c>
    </row>
    <row r="38" spans="1:20" ht="15">
      <c r="A38" s="63" t="s">
        <v>189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1" ht="12.75">
      <c r="A39" s="10" t="s">
        <v>191</v>
      </c>
      <c r="B39" s="11" t="s">
        <v>192</v>
      </c>
      <c r="C39" s="11" t="s">
        <v>193</v>
      </c>
      <c r="D39" s="11" t="str">
        <f>"0,5596"</f>
        <v>0,5596</v>
      </c>
      <c r="E39" s="12" t="s">
        <v>194</v>
      </c>
      <c r="F39" s="12" t="s">
        <v>195</v>
      </c>
      <c r="G39" s="11" t="s">
        <v>180</v>
      </c>
      <c r="H39" s="11" t="s">
        <v>196</v>
      </c>
      <c r="I39" s="11" t="s">
        <v>197</v>
      </c>
      <c r="J39" s="13"/>
      <c r="K39" s="11" t="s">
        <v>37</v>
      </c>
      <c r="L39" s="11" t="s">
        <v>40</v>
      </c>
      <c r="M39" s="13" t="s">
        <v>86</v>
      </c>
      <c r="N39" s="13"/>
      <c r="O39" s="11" t="s">
        <v>103</v>
      </c>
      <c r="P39" s="13" t="s">
        <v>157</v>
      </c>
      <c r="Q39" s="11" t="s">
        <v>157</v>
      </c>
      <c r="R39" s="13"/>
      <c r="S39" s="10" t="s">
        <v>198</v>
      </c>
      <c r="T39" s="11" t="str">
        <f>"470,0640"</f>
        <v>470,0640</v>
      </c>
      <c r="U39" s="12" t="s">
        <v>199</v>
      </c>
    </row>
    <row r="40" spans="1:21" ht="12.75">
      <c r="A40" s="14" t="s">
        <v>201</v>
      </c>
      <c r="B40" s="15" t="s">
        <v>202</v>
      </c>
      <c r="C40" s="15" t="s">
        <v>203</v>
      </c>
      <c r="D40" s="15" t="str">
        <f>"0,5693"</f>
        <v>0,5693</v>
      </c>
      <c r="E40" s="16" t="s">
        <v>204</v>
      </c>
      <c r="F40" s="16" t="s">
        <v>205</v>
      </c>
      <c r="G40" s="15" t="s">
        <v>137</v>
      </c>
      <c r="H40" s="17" t="s">
        <v>76</v>
      </c>
      <c r="I40" s="17"/>
      <c r="J40" s="17"/>
      <c r="K40" s="15" t="s">
        <v>20</v>
      </c>
      <c r="L40" s="15" t="s">
        <v>163</v>
      </c>
      <c r="M40" s="17"/>
      <c r="N40" s="17"/>
      <c r="O40" s="15" t="s">
        <v>137</v>
      </c>
      <c r="P40" s="15" t="s">
        <v>76</v>
      </c>
      <c r="Q40" s="17"/>
      <c r="R40" s="17"/>
      <c r="S40" s="14" t="s">
        <v>188</v>
      </c>
      <c r="T40" s="15" t="str">
        <f>"361,5055"</f>
        <v>361,5055</v>
      </c>
      <c r="U40" s="16" t="s">
        <v>206</v>
      </c>
    </row>
    <row r="42" spans="1:20" ht="15">
      <c r="A42" s="63" t="s">
        <v>207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1" ht="12.75">
      <c r="A43" s="6" t="s">
        <v>209</v>
      </c>
      <c r="B43" s="7" t="s">
        <v>210</v>
      </c>
      <c r="C43" s="7" t="s">
        <v>211</v>
      </c>
      <c r="D43" s="7" t="str">
        <f>"0,5583"</f>
        <v>0,5583</v>
      </c>
      <c r="E43" s="8" t="s">
        <v>212</v>
      </c>
      <c r="F43" s="8" t="s">
        <v>213</v>
      </c>
      <c r="G43" s="9" t="s">
        <v>180</v>
      </c>
      <c r="H43" s="7" t="s">
        <v>181</v>
      </c>
      <c r="I43" s="9" t="s">
        <v>214</v>
      </c>
      <c r="J43" s="9"/>
      <c r="K43" s="7" t="s">
        <v>41</v>
      </c>
      <c r="L43" s="7" t="s">
        <v>215</v>
      </c>
      <c r="M43" s="7" t="s">
        <v>178</v>
      </c>
      <c r="N43" s="9"/>
      <c r="O43" s="7" t="s">
        <v>181</v>
      </c>
      <c r="P43" s="7" t="s">
        <v>197</v>
      </c>
      <c r="Q43" s="7" t="s">
        <v>216</v>
      </c>
      <c r="R43" s="9"/>
      <c r="S43" s="6" t="s">
        <v>217</v>
      </c>
      <c r="T43" s="7" t="str">
        <f>"513,6360"</f>
        <v>513,6360</v>
      </c>
      <c r="U43" s="8" t="s">
        <v>54</v>
      </c>
    </row>
    <row r="45" ht="15">
      <c r="E45" s="22" t="s">
        <v>218</v>
      </c>
    </row>
    <row r="46" ht="15">
      <c r="E46" s="22" t="s">
        <v>219</v>
      </c>
    </row>
    <row r="47" ht="15">
      <c r="E47" s="22" t="s">
        <v>220</v>
      </c>
    </row>
    <row r="48" ht="15">
      <c r="E48" s="22" t="s">
        <v>221</v>
      </c>
    </row>
    <row r="49" ht="15">
      <c r="E49" s="22" t="s">
        <v>221</v>
      </c>
    </row>
    <row r="50" ht="15">
      <c r="E50" s="22" t="s">
        <v>222</v>
      </c>
    </row>
    <row r="51" ht="15">
      <c r="E51" s="22"/>
    </row>
    <row r="53" spans="1:2" ht="18">
      <c r="A53" s="23" t="s">
        <v>223</v>
      </c>
      <c r="B53" s="24"/>
    </row>
    <row r="54" spans="1:2" ht="15">
      <c r="A54" s="25" t="s">
        <v>224</v>
      </c>
      <c r="B54" s="26"/>
    </row>
    <row r="55" spans="1:2" ht="14.25">
      <c r="A55" s="28" t="s">
        <v>225</v>
      </c>
      <c r="B55" s="29"/>
    </row>
    <row r="56" spans="1:5" ht="15">
      <c r="A56" s="30" t="s">
        <v>226</v>
      </c>
      <c r="B56" s="30" t="s">
        <v>227</v>
      </c>
      <c r="C56" s="30" t="s">
        <v>228</v>
      </c>
      <c r="D56" s="30" t="s">
        <v>229</v>
      </c>
      <c r="E56" s="30" t="s">
        <v>230</v>
      </c>
    </row>
    <row r="57" spans="1:5" ht="12.75">
      <c r="A57" s="27" t="s">
        <v>14</v>
      </c>
      <c r="B57" s="1" t="s">
        <v>225</v>
      </c>
      <c r="C57" s="1" t="s">
        <v>231</v>
      </c>
      <c r="D57" s="1" t="s">
        <v>232</v>
      </c>
      <c r="E57" s="4" t="s">
        <v>233</v>
      </c>
    </row>
    <row r="60" spans="1:2" ht="15">
      <c r="A60" s="25" t="s">
        <v>234</v>
      </c>
      <c r="B60" s="26"/>
    </row>
    <row r="61" spans="1:2" ht="14.25">
      <c r="A61" s="28" t="s">
        <v>235</v>
      </c>
      <c r="B61" s="29"/>
    </row>
    <row r="62" spans="1:5" ht="15">
      <c r="A62" s="30" t="s">
        <v>226</v>
      </c>
      <c r="B62" s="30" t="s">
        <v>227</v>
      </c>
      <c r="C62" s="30" t="s">
        <v>228</v>
      </c>
      <c r="D62" s="30" t="s">
        <v>229</v>
      </c>
      <c r="E62" s="30" t="s">
        <v>230</v>
      </c>
    </row>
    <row r="63" spans="1:5" ht="12.75">
      <c r="A63" s="27" t="s">
        <v>146</v>
      </c>
      <c r="B63" s="1" t="s">
        <v>235</v>
      </c>
      <c r="C63" s="1" t="s">
        <v>236</v>
      </c>
      <c r="D63" s="1" t="s">
        <v>237</v>
      </c>
      <c r="E63" s="4" t="s">
        <v>238</v>
      </c>
    </row>
    <row r="64" spans="1:5" ht="12.75">
      <c r="A64" s="27" t="s">
        <v>31</v>
      </c>
      <c r="B64" s="1" t="s">
        <v>235</v>
      </c>
      <c r="C64" s="1" t="s">
        <v>239</v>
      </c>
      <c r="D64" s="1" t="s">
        <v>240</v>
      </c>
      <c r="E64" s="4" t="s">
        <v>241</v>
      </c>
    </row>
    <row r="65" spans="1:5" ht="12.75">
      <c r="A65" s="27" t="s">
        <v>114</v>
      </c>
      <c r="B65" s="1" t="s">
        <v>235</v>
      </c>
      <c r="C65" s="1" t="s">
        <v>242</v>
      </c>
      <c r="D65" s="1" t="s">
        <v>243</v>
      </c>
      <c r="E65" s="4" t="s">
        <v>244</v>
      </c>
    </row>
    <row r="67" spans="1:2" ht="14.25">
      <c r="A67" s="28" t="s">
        <v>245</v>
      </c>
      <c r="B67" s="29"/>
    </row>
    <row r="68" spans="1:5" ht="15">
      <c r="A68" s="30" t="s">
        <v>226</v>
      </c>
      <c r="B68" s="30" t="s">
        <v>227</v>
      </c>
      <c r="C68" s="30" t="s">
        <v>228</v>
      </c>
      <c r="D68" s="30" t="s">
        <v>229</v>
      </c>
      <c r="E68" s="30" t="s">
        <v>230</v>
      </c>
    </row>
    <row r="69" spans="1:5" ht="12.75">
      <c r="A69" s="27" t="s">
        <v>69</v>
      </c>
      <c r="B69" s="1" t="s">
        <v>245</v>
      </c>
      <c r="C69" s="1" t="s">
        <v>246</v>
      </c>
      <c r="D69" s="1" t="s">
        <v>247</v>
      </c>
      <c r="E69" s="4" t="s">
        <v>248</v>
      </c>
    </row>
    <row r="70" spans="1:5" ht="12.75">
      <c r="A70" s="27" t="s">
        <v>173</v>
      </c>
      <c r="B70" s="1" t="s">
        <v>245</v>
      </c>
      <c r="C70" s="1" t="s">
        <v>249</v>
      </c>
      <c r="D70" s="1" t="s">
        <v>250</v>
      </c>
      <c r="E70" s="4" t="s">
        <v>251</v>
      </c>
    </row>
    <row r="71" spans="1:5" ht="12.75">
      <c r="A71" s="27" t="s">
        <v>183</v>
      </c>
      <c r="B71" s="1" t="s">
        <v>245</v>
      </c>
      <c r="C71" s="1" t="s">
        <v>249</v>
      </c>
      <c r="D71" s="1" t="s">
        <v>252</v>
      </c>
      <c r="E71" s="4" t="s">
        <v>253</v>
      </c>
    </row>
    <row r="72" spans="1:5" ht="12.75">
      <c r="A72" s="27" t="s">
        <v>81</v>
      </c>
      <c r="B72" s="1" t="s">
        <v>245</v>
      </c>
      <c r="C72" s="1" t="s">
        <v>246</v>
      </c>
      <c r="D72" s="1" t="s">
        <v>254</v>
      </c>
      <c r="E72" s="4" t="s">
        <v>255</v>
      </c>
    </row>
    <row r="74" spans="1:2" ht="14.25">
      <c r="A74" s="28" t="s">
        <v>225</v>
      </c>
      <c r="B74" s="29"/>
    </row>
    <row r="75" spans="1:5" ht="15">
      <c r="A75" s="30" t="s">
        <v>226</v>
      </c>
      <c r="B75" s="30" t="s">
        <v>227</v>
      </c>
      <c r="C75" s="30" t="s">
        <v>228</v>
      </c>
      <c r="D75" s="30" t="s">
        <v>229</v>
      </c>
      <c r="E75" s="30" t="s">
        <v>230</v>
      </c>
    </row>
    <row r="76" spans="1:5" ht="12.75">
      <c r="A76" s="27" t="s">
        <v>208</v>
      </c>
      <c r="B76" s="1" t="s">
        <v>225</v>
      </c>
      <c r="C76" s="1" t="s">
        <v>256</v>
      </c>
      <c r="D76" s="1" t="s">
        <v>257</v>
      </c>
      <c r="E76" s="4" t="s">
        <v>258</v>
      </c>
    </row>
    <row r="77" spans="1:5" ht="12.75">
      <c r="A77" s="27" t="s">
        <v>88</v>
      </c>
      <c r="B77" s="1" t="s">
        <v>225</v>
      </c>
      <c r="C77" s="1" t="s">
        <v>246</v>
      </c>
      <c r="D77" s="1" t="s">
        <v>259</v>
      </c>
      <c r="E77" s="4" t="s">
        <v>260</v>
      </c>
    </row>
    <row r="78" spans="1:5" ht="12.75">
      <c r="A78" s="27" t="s">
        <v>123</v>
      </c>
      <c r="B78" s="1" t="s">
        <v>225</v>
      </c>
      <c r="C78" s="1" t="s">
        <v>242</v>
      </c>
      <c r="D78" s="1" t="s">
        <v>261</v>
      </c>
      <c r="E78" s="4" t="s">
        <v>262</v>
      </c>
    </row>
    <row r="79" spans="1:5" ht="12.75">
      <c r="A79" s="27" t="s">
        <v>190</v>
      </c>
      <c r="B79" s="1" t="s">
        <v>225</v>
      </c>
      <c r="C79" s="1" t="s">
        <v>263</v>
      </c>
      <c r="D79" s="1" t="s">
        <v>264</v>
      </c>
      <c r="E79" s="4" t="s">
        <v>265</v>
      </c>
    </row>
    <row r="80" spans="1:5" ht="12.75">
      <c r="A80" s="27" t="s">
        <v>97</v>
      </c>
      <c r="B80" s="1" t="s">
        <v>225</v>
      </c>
      <c r="C80" s="1" t="s">
        <v>246</v>
      </c>
      <c r="D80" s="1" t="s">
        <v>266</v>
      </c>
      <c r="E80" s="4" t="s">
        <v>267</v>
      </c>
    </row>
    <row r="81" spans="1:5" ht="12.75">
      <c r="A81" s="27" t="s">
        <v>69</v>
      </c>
      <c r="B81" s="1" t="s">
        <v>225</v>
      </c>
      <c r="C81" s="1" t="s">
        <v>246</v>
      </c>
      <c r="D81" s="1" t="s">
        <v>247</v>
      </c>
      <c r="E81" s="4" t="s">
        <v>248</v>
      </c>
    </row>
    <row r="82" spans="1:5" ht="12.75">
      <c r="A82" s="27" t="s">
        <v>152</v>
      </c>
      <c r="B82" s="1" t="s">
        <v>225</v>
      </c>
      <c r="C82" s="1" t="s">
        <v>236</v>
      </c>
      <c r="D82" s="1" t="s">
        <v>268</v>
      </c>
      <c r="E82" s="4" t="s">
        <v>269</v>
      </c>
    </row>
    <row r="83" spans="1:5" ht="12.75">
      <c r="A83" s="27" t="s">
        <v>159</v>
      </c>
      <c r="B83" s="1" t="s">
        <v>225</v>
      </c>
      <c r="C83" s="1" t="s">
        <v>236</v>
      </c>
      <c r="D83" s="1" t="s">
        <v>270</v>
      </c>
      <c r="E83" s="4" t="s">
        <v>271</v>
      </c>
    </row>
    <row r="84" spans="1:5" ht="12.75">
      <c r="A84" s="27" t="s">
        <v>133</v>
      </c>
      <c r="B84" s="1" t="s">
        <v>225</v>
      </c>
      <c r="C84" s="1" t="s">
        <v>242</v>
      </c>
      <c r="D84" s="1" t="s">
        <v>272</v>
      </c>
      <c r="E84" s="4" t="s">
        <v>273</v>
      </c>
    </row>
    <row r="85" spans="1:5" ht="12.75">
      <c r="A85" s="27" t="s">
        <v>46</v>
      </c>
      <c r="B85" s="1" t="s">
        <v>225</v>
      </c>
      <c r="C85" s="1" t="s">
        <v>274</v>
      </c>
      <c r="D85" s="1" t="s">
        <v>275</v>
      </c>
      <c r="E85" s="4" t="s">
        <v>276</v>
      </c>
    </row>
    <row r="86" spans="1:5" ht="12.75">
      <c r="A86" s="27" t="s">
        <v>55</v>
      </c>
      <c r="B86" s="1" t="s">
        <v>225</v>
      </c>
      <c r="C86" s="1" t="s">
        <v>274</v>
      </c>
      <c r="D86" s="1" t="s">
        <v>277</v>
      </c>
      <c r="E86" s="4" t="s">
        <v>278</v>
      </c>
    </row>
    <row r="87" spans="1:5" ht="12.75">
      <c r="A87" s="27" t="s">
        <v>166</v>
      </c>
      <c r="B87" s="1" t="s">
        <v>225</v>
      </c>
      <c r="C87" s="1" t="s">
        <v>236</v>
      </c>
      <c r="D87" s="1" t="s">
        <v>279</v>
      </c>
      <c r="E87" s="4" t="s">
        <v>280</v>
      </c>
    </row>
    <row r="89" spans="1:2" ht="14.25">
      <c r="A89" s="28" t="s">
        <v>281</v>
      </c>
      <c r="B89" s="29"/>
    </row>
    <row r="90" spans="1:5" ht="15">
      <c r="A90" s="30" t="s">
        <v>226</v>
      </c>
      <c r="B90" s="30" t="s">
        <v>227</v>
      </c>
      <c r="C90" s="30" t="s">
        <v>228</v>
      </c>
      <c r="D90" s="30" t="s">
        <v>229</v>
      </c>
      <c r="E90" s="30" t="s">
        <v>230</v>
      </c>
    </row>
    <row r="91" spans="1:5" ht="12.75">
      <c r="A91" s="27" t="s">
        <v>200</v>
      </c>
      <c r="B91" s="1" t="s">
        <v>281</v>
      </c>
      <c r="C91" s="1" t="s">
        <v>263</v>
      </c>
      <c r="D91" s="1" t="s">
        <v>252</v>
      </c>
      <c r="E91" s="4" t="s">
        <v>282</v>
      </c>
    </row>
    <row r="96" spans="1:2" ht="18">
      <c r="A96" s="23" t="s">
        <v>283</v>
      </c>
      <c r="B96" s="24"/>
    </row>
    <row r="97" spans="1:3" ht="15">
      <c r="A97" s="30" t="s">
        <v>284</v>
      </c>
      <c r="B97" s="30" t="s">
        <v>285</v>
      </c>
      <c r="C97" s="30" t="s">
        <v>286</v>
      </c>
    </row>
  </sheetData>
  <sheetProtection/>
  <mergeCells count="22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  <mergeCell ref="A5:T5"/>
    <mergeCell ref="A8:T8"/>
    <mergeCell ref="A11:T11"/>
    <mergeCell ref="A15:T15"/>
    <mergeCell ref="A23:T23"/>
    <mergeCell ref="A28:T28"/>
    <mergeCell ref="A34:T34"/>
    <mergeCell ref="A38:T38"/>
    <mergeCell ref="A42:T42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Максим</cp:lastModifiedBy>
  <cp:lastPrinted>2008-02-22T21:19:39Z</cp:lastPrinted>
  <dcterms:created xsi:type="dcterms:W3CDTF">2002-06-16T13:36:44Z</dcterms:created>
  <dcterms:modified xsi:type="dcterms:W3CDTF">2015-05-04T16:24:55Z</dcterms:modified>
  <cp:category/>
  <cp:version/>
  <cp:contentType/>
  <cp:contentStatus/>
</cp:coreProperties>
</file>